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8" yWindow="65524" windowWidth="5976" windowHeight="6000" tabRatio="829" firstSheet="2" activeTab="4"/>
  </bookViews>
  <sheets>
    <sheet name="FUNDS" sheetId="1" r:id="rId1"/>
    <sheet name="INCOME &amp; PRINCIPAL" sheetId="2" r:id="rId2"/>
    <sheet name="DISTRIBUTIONS" sheetId="3" r:id="rId3"/>
    <sheet name="Sheet1" sheetId="4" r:id="rId4"/>
    <sheet name="BAL SHEETS" sheetId="5" r:id="rId5"/>
  </sheets>
  <definedNames>
    <definedName name="_xlnm.Print_Area" localSheetId="4">'BAL SHEETS'!$A$25:$F$56</definedName>
  </definedNames>
  <calcPr fullCalcOnLoad="1"/>
</workbook>
</file>

<file path=xl/sharedStrings.xml><?xml version="1.0" encoding="utf-8"?>
<sst xmlns="http://schemas.openxmlformats.org/spreadsheetml/2006/main" count="360" uniqueCount="199">
  <si>
    <t>PRINCIPAL</t>
  </si>
  <si>
    <t>EXPENDABLE</t>
  </si>
  <si>
    <t>TOTAL</t>
  </si>
  <si>
    <t>PURPOSE</t>
  </si>
  <si>
    <t>RESTRICTION</t>
  </si>
  <si>
    <t>LIBRARY GROUP</t>
  </si>
  <si>
    <t>L</t>
  </si>
  <si>
    <t>GENERAL</t>
  </si>
  <si>
    <t>INCOME ONLY</t>
  </si>
  <si>
    <t>Blue come from</t>
  </si>
  <si>
    <t>ALONZO CARR</t>
  </si>
  <si>
    <t>balance sheet</t>
  </si>
  <si>
    <t>DR HASKELL</t>
  </si>
  <si>
    <t xml:space="preserve">pink figures </t>
  </si>
  <si>
    <t>S</t>
  </si>
  <si>
    <t>SCHOLARSHIP</t>
  </si>
  <si>
    <t>calculated</t>
  </si>
  <si>
    <t>RUTH BROOKS</t>
  </si>
  <si>
    <t>using figures from</t>
  </si>
  <si>
    <t>ASHBY ALUMNI</t>
  </si>
  <si>
    <t>other sheets</t>
  </si>
  <si>
    <t>A.A.W. LOCKE</t>
  </si>
  <si>
    <t>FRANCIS MARSTON SCH</t>
  </si>
  <si>
    <t>green figures</t>
  </si>
  <si>
    <t>FRANCIS MARSTON GEN</t>
  </si>
  <si>
    <t>calculated from</t>
  </si>
  <si>
    <t>EDWARD &amp; BARBARA  LYMAN</t>
  </si>
  <si>
    <t xml:space="preserve">numbers on </t>
  </si>
  <si>
    <t xml:space="preserve"> </t>
  </si>
  <si>
    <t>ACCOUNT</t>
  </si>
  <si>
    <t>AMOUNT</t>
  </si>
  <si>
    <t>CD</t>
  </si>
  <si>
    <t>WORKERS CR UNION</t>
  </si>
  <si>
    <t>860037061</t>
  </si>
  <si>
    <t>860011912</t>
  </si>
  <si>
    <t>MM</t>
  </si>
  <si>
    <t>CH</t>
  </si>
  <si>
    <t>SUMMARY OF PRIOR YEARS AVAILABLE FUNDS COMMITMENTS</t>
  </si>
  <si>
    <t>FUNDS ACTUALLY USED</t>
  </si>
  <si>
    <t>COMMITTED IN EXCESS</t>
  </si>
  <si>
    <t xml:space="preserve">Brown figures from prior </t>
  </si>
  <si>
    <t>year sheet</t>
  </si>
  <si>
    <t>INCOME  CD'S</t>
  </si>
  <si>
    <t xml:space="preserve">Blue figures come from </t>
  </si>
  <si>
    <t xml:space="preserve">INCOME  SAVINGS &amp; CHECKING </t>
  </si>
  <si>
    <t>INCOME MARSTON GENERAL</t>
  </si>
  <si>
    <t>INCOME  MARSTON SCHOLARSHIP</t>
  </si>
  <si>
    <t>pink figures from</t>
  </si>
  <si>
    <t>distributions</t>
  </si>
  <si>
    <t>TOTAL INCOME FROM ALL SOURCES</t>
  </si>
  <si>
    <t>green figures calculated from</t>
  </si>
  <si>
    <t>INCOME DISTRIBUTION</t>
  </si>
  <si>
    <t>numbers on this sheet</t>
  </si>
  <si>
    <t>INCOME FROM CD'S  IS DISTRUBUTED AMONG THE FUNDS BASED ON THE PRIOR YEARS PRINCIPAL</t>
  </si>
  <si>
    <t>10% OF INCOME   IS REINVESTED</t>
  </si>
  <si>
    <t>INCOME</t>
  </si>
  <si>
    <t>MARSTON SCH INCOME</t>
  </si>
  <si>
    <t>MARSTON GEN INCOME</t>
  </si>
  <si>
    <t>SUMMARY OF INCOME ALLOCATIONS</t>
  </si>
  <si>
    <t>DISTRIBUTED AS SCHOLARSHIPS</t>
  </si>
  <si>
    <t>USED FOR  GENERAL LIBRARY PURPOSES</t>
  </si>
  <si>
    <t>REINVEST 10% INTO TRUST FUNDS</t>
  </si>
  <si>
    <t>CHANGE IN EXPENDABLE  FUNDS SCHOLARSHIP</t>
  </si>
  <si>
    <t>CHANGE IN EXPENDABLE  FUNDS GENERAL</t>
  </si>
  <si>
    <t>DISTRIBUTION INFORMATION FROM QUICKEN REPORTS (SEE ATTACHED FOR DETAILS)</t>
  </si>
  <si>
    <t xml:space="preserve">DISTRIBUTIONS ARE BASED ON DONORS REQUESTS </t>
  </si>
  <si>
    <t>SCHOLARSHIPS GIVEN</t>
  </si>
  <si>
    <t>GENERAL EXPENSES</t>
  </si>
  <si>
    <t>TOTAL DISTRIBUTIONS</t>
  </si>
  <si>
    <t>NEW INCOME</t>
  </si>
  <si>
    <t>% OF PRINC</t>
  </si>
  <si>
    <t>SCHOLARSHIPS</t>
  </si>
  <si>
    <t>ALUMNI/LOCKE</t>
  </si>
  <si>
    <t>NON-SCHOLARSHIP GENERAL EXPENSES</t>
  </si>
  <si>
    <t xml:space="preserve">GENERAL NON SCHOLARSHIP  EXPENSES ARE EXPENDED  FROM MARSTON INCOME </t>
  </si>
  <si>
    <t>REMAINDER IS  APPORTIONED AT TREASURER'S DISCRETION  BASED ON AVAILABLE FUNDS</t>
  </si>
  <si>
    <t>UNLESS DONOR HAS EXPRESSED SPECIFIC PURPOSE</t>
  </si>
  <si>
    <t>TO APPORTION</t>
  </si>
  <si>
    <t xml:space="preserve">Income is after 10% reinvestment   </t>
  </si>
  <si>
    <t>EXPENDABLE FUND BALANCES</t>
  </si>
  <si>
    <t>BALANCE</t>
  </si>
  <si>
    <t>EXPENDED</t>
  </si>
  <si>
    <t>TRANSFER TO</t>
  </si>
  <si>
    <t>PRINCIPLE</t>
  </si>
  <si>
    <t>Barbara Lyman Fund</t>
  </si>
  <si>
    <t>General Fund</t>
  </si>
  <si>
    <t>DISTRIBUTION REPORT  OF THE ASHBY FREE PUBLIC LIBRARY</t>
  </si>
  <si>
    <t xml:space="preserve">purple figures come from </t>
  </si>
  <si>
    <t>income&amp;principal</t>
  </si>
  <si>
    <t>principal scholarships</t>
  </si>
  <si>
    <t>principal general</t>
  </si>
  <si>
    <t>Total principal</t>
  </si>
  <si>
    <t>expendable</t>
  </si>
  <si>
    <t>total investments</t>
  </si>
  <si>
    <t xml:space="preserve">COMMITTED FUNDS  </t>
  </si>
  <si>
    <t>INCOME  REPORT  OF THE ASHBY FREE PUBLIC LIBRARY</t>
  </si>
  <si>
    <t>AVAILABLE FUNDS</t>
  </si>
  <si>
    <t>Balance from prior years</t>
  </si>
  <si>
    <t>RUTH BROOKS SCHOLARSHIP FUND</t>
  </si>
  <si>
    <t>ASHBY ALUMNI SCHOLARSHIP FUND</t>
  </si>
  <si>
    <t>A.A.W. LOCKE SCHOLARSHIP FUND</t>
  </si>
  <si>
    <t>FRANCIS MARSTON SCHOLARSHIP FUND</t>
  </si>
  <si>
    <t>ALONZO CARR LIBRARY FUND</t>
  </si>
  <si>
    <t>LIBRARY GROUP LIBRARY FUND</t>
  </si>
  <si>
    <t>DR HASKELL LIBRARY FUND</t>
  </si>
  <si>
    <t>FRANCIS MARSTON LIBRARY FUND</t>
  </si>
  <si>
    <t>BARBARA C AND EDWARD J LYMAN LIBRARY FUND</t>
  </si>
  <si>
    <t>2002/2003</t>
  </si>
  <si>
    <t>FAMILY FEDERAL</t>
  </si>
  <si>
    <t>TODD WRIGHT MEMORIAL</t>
  </si>
  <si>
    <t>Connor Fund</t>
  </si>
  <si>
    <t xml:space="preserve">change in </t>
  </si>
  <si>
    <t>available funds</t>
  </si>
  <si>
    <t>2003/2004</t>
  </si>
  <si>
    <t>TODD WRIGHT MEM</t>
  </si>
  <si>
    <t>TODD WRIGHT MEM SCH</t>
  </si>
  <si>
    <t>this sheet</t>
  </si>
  <si>
    <t>PRINCIPAL CONTROLLED BY BANKNORTH</t>
  </si>
  <si>
    <t>BALANCE OF $600 SCHOLARSHIP PAID FROM BROOKS/LYMAN</t>
  </si>
  <si>
    <t>OTHER INCOME</t>
  </si>
  <si>
    <t>Starting Bal</t>
  </si>
  <si>
    <t>% of Total</t>
  </si>
  <si>
    <t>Ending Bal</t>
  </si>
  <si>
    <t>Principal</t>
  </si>
  <si>
    <t>Expendable</t>
  </si>
  <si>
    <t>PLUS</t>
  </si>
  <si>
    <t>Income</t>
  </si>
  <si>
    <t>Income Alloc</t>
  </si>
  <si>
    <t>to Principal</t>
  </si>
  <si>
    <t>LESS</t>
  </si>
  <si>
    <t>Donations</t>
  </si>
  <si>
    <t>Expenses</t>
  </si>
  <si>
    <t>Paid Out</t>
  </si>
  <si>
    <t>to Expendable</t>
  </si>
  <si>
    <t>FOR THE FISCAL YEAR JULY 1 2003-JUNE 30  2004</t>
  </si>
  <si>
    <t>Total</t>
  </si>
  <si>
    <t>SUMMARY OF AVAILABLE FUNDS AND COMMITMENTS FOR THE FISCAL YEAR 2004-2005</t>
  </si>
  <si>
    <t>INVESTMENT OF FUNDS HELD BY  ASHBY FREE PUBLIC LIBRARY</t>
  </si>
  <si>
    <t>from Quicken</t>
  </si>
  <si>
    <t>7/1/03-6/30/04</t>
  </si>
  <si>
    <t>APY</t>
  </si>
  <si>
    <t>TRUST FUNDS:</t>
  </si>
  <si>
    <t>MEMORIAL FUNDS:</t>
  </si>
  <si>
    <t>M</t>
  </si>
  <si>
    <t>TOTAL - Trust Funds</t>
  </si>
  <si>
    <t>TOTAL - Memorial Funds</t>
  </si>
  <si>
    <t>TOTAL - ALL FUNDS</t>
  </si>
  <si>
    <t>TOTALS - ALL FUNDS:</t>
  </si>
  <si>
    <t>FOR THE FISCAL YEAR JULY 1, 2003 thru JUNE 30, 2004</t>
  </si>
  <si>
    <t>BALANCE OF $400 SCHOLARSHIP PAID FROM BROOKS/LYMAN</t>
  </si>
  <si>
    <t>NAMED SCHOLARSHIPS ARE GIVEN FROM THE INCOME OF THE ASHBY ALUMNI, RUTH BROOKS, MARSTON, AND TODD WRIGHT FUNDS</t>
  </si>
  <si>
    <t>FY03 END PRINCIPAL</t>
  </si>
  <si>
    <t>MARSTON SCHOLARSHIP</t>
  </si>
  <si>
    <t>MARSTON GENERAL</t>
  </si>
  <si>
    <t>SUBTOTAL - BROOKS/LYMAN</t>
  </si>
  <si>
    <t>AVAILABLE 2002-2003</t>
  </si>
  <si>
    <t>COMBINED BALANCE SHEET 2002-2003</t>
  </si>
  <si>
    <t>Memorial:</t>
  </si>
  <si>
    <t>Trust (excl Marston):</t>
  </si>
  <si>
    <t>TRUST ACCOUNTS:</t>
  </si>
  <si>
    <t>MEMORIAL ACCOUNTS:</t>
  </si>
  <si>
    <t>SOVEREIGN</t>
  </si>
  <si>
    <t xml:space="preserve">purple figures </t>
  </si>
  <si>
    <t>Trust (Marston):</t>
  </si>
  <si>
    <t>purple from</t>
  </si>
  <si>
    <t>Funds sheet</t>
  </si>
  <si>
    <t>SCHOLARSHIP TRUST FUNDS</t>
  </si>
  <si>
    <t>SUBTOTAL TRUST FUNDS:</t>
  </si>
  <si>
    <t>Edward Connor Fund</t>
  </si>
  <si>
    <t>NONE</t>
  </si>
  <si>
    <t xml:space="preserve">ED &amp; BARBARA  LYMAN </t>
  </si>
  <si>
    <t>FUNDS HELD BY  ASHBY FREE PUBLIC LIBRARY AS OF  6/30/2004</t>
  </si>
  <si>
    <t>SUBTOTAL - TRUSTS:</t>
  </si>
  <si>
    <t>SUBTOTAL - MEMORIAL:</t>
  </si>
  <si>
    <t>TOTAL - SCHOLARSHIPS:</t>
  </si>
  <si>
    <t>TOTAL - GEN EXP:</t>
  </si>
  <si>
    <t>2003-4</t>
  </si>
  <si>
    <t>See Detail Below</t>
  </si>
  <si>
    <t>DISTRIBUTIONS &amp; EXPENSES (DETAIL)</t>
  </si>
  <si>
    <t>Architectural Fees</t>
  </si>
  <si>
    <t>Bank Fees</t>
  </si>
  <si>
    <t>Internet Access</t>
  </si>
  <si>
    <t>SUBTOTAL - EXPENSES</t>
  </si>
  <si>
    <t>Loan to AFPL Fund Inc (Bldg Expansion)</t>
  </si>
  <si>
    <t>AFPL FUND LOAN</t>
  </si>
  <si>
    <t>DISTRIBUTED AS BUILDING LOAN</t>
  </si>
  <si>
    <t>FRIEDA LYMAN SCHOLARSHIP FUND</t>
  </si>
  <si>
    <t>FRIEDA LYMAN LIBRARY FUND</t>
  </si>
  <si>
    <t xml:space="preserve"> REMAINDER  IS APPORTIONED BETWEEN THE RUTH BROOKS AND FRIEDA LYMAN SCHOLARSHIP FUNDS</t>
  </si>
  <si>
    <t>FRIEDA LYMAN SCHOL</t>
  </si>
  <si>
    <t>FRIEDA LYMAN GEN</t>
  </si>
  <si>
    <t>FRIEDA LYMAN LIBRARY</t>
  </si>
  <si>
    <t>BARBARA LYMAN FUND</t>
  </si>
  <si>
    <t>GENERAL FUND</t>
  </si>
  <si>
    <t>EDWARD CONNOR FUND</t>
  </si>
  <si>
    <t xml:space="preserve">BARBARA C &amp; EDWARD J LYMAN </t>
  </si>
  <si>
    <t>GENL LIBRARY MEM FUNDS</t>
  </si>
  <si>
    <t>GENL LIBRARY TRUST FUNDS</t>
  </si>
  <si>
    <t>LIBRARY COMBINED BALANCE SHEET 2003-2004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</si>
</sst>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&quot;$&quot;#,##0.0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50"/>
      <name val="Arial"/>
      <family val="2"/>
    </font>
    <font>
      <sz val="10"/>
      <color indexed="54"/>
      <name val="Arial"/>
      <family val="2"/>
    </font>
    <font>
      <sz val="12"/>
      <color indexed="50"/>
      <name val="Arial"/>
      <family val="2"/>
    </font>
    <font>
      <sz val="10"/>
      <color indexed="3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0"/>
      <name val="Arial"/>
      <family val="2"/>
    </font>
    <font>
      <sz val="10"/>
      <color indexed="57"/>
      <name val="Arial"/>
      <family val="2"/>
    </font>
    <font>
      <sz val="10"/>
      <color indexed="16"/>
      <name val="Arial"/>
      <family val="2"/>
    </font>
    <font>
      <u val="singleAccounting"/>
      <sz val="10"/>
      <color indexed="16"/>
      <name val="Arial"/>
      <family val="2"/>
    </font>
    <font>
      <u val="singleAccounting"/>
      <sz val="10"/>
      <color indexed="50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10"/>
      <color indexed="20"/>
      <name val="Arial"/>
      <family val="2"/>
    </font>
    <font>
      <u val="singleAccounting"/>
      <sz val="10"/>
      <color indexed="14"/>
      <name val="Arial"/>
      <family val="2"/>
    </font>
    <font>
      <sz val="10"/>
      <color indexed="46"/>
      <name val="Arial"/>
      <family val="2"/>
    </font>
    <font>
      <u val="singleAccounting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6" fillId="0" borderId="0" xfId="17" applyFont="1" applyAlignment="1">
      <alignment/>
    </xf>
    <xf numFmtId="44" fontId="6" fillId="0" borderId="0" xfId="0" applyNumberFormat="1" applyFont="1" applyAlignment="1">
      <alignment/>
    </xf>
    <xf numFmtId="44" fontId="7" fillId="0" borderId="0" xfId="17" applyFont="1" applyAlignment="1">
      <alignment/>
    </xf>
    <xf numFmtId="0" fontId="0" fillId="0" borderId="0" xfId="0" applyFont="1" applyAlignment="1">
      <alignment/>
    </xf>
    <xf numFmtId="44" fontId="0" fillId="0" borderId="0" xfId="17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4" fontId="7" fillId="0" borderId="0" xfId="0" applyNumberFormat="1" applyFont="1" applyAlignment="1">
      <alignment/>
    </xf>
    <xf numFmtId="0" fontId="7" fillId="0" borderId="0" xfId="0" applyFont="1" applyAlignment="1">
      <alignment/>
    </xf>
    <xf numFmtId="44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4" fontId="10" fillId="0" borderId="0" xfId="17" applyFont="1" applyAlignment="1">
      <alignment/>
    </xf>
    <xf numFmtId="0" fontId="10" fillId="0" borderId="0" xfId="0" applyFont="1" applyAlignment="1">
      <alignment/>
    </xf>
    <xf numFmtId="4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4" fontId="12" fillId="0" borderId="0" xfId="17" applyFont="1" applyAlignment="1">
      <alignment/>
    </xf>
    <xf numFmtId="44" fontId="12" fillId="0" borderId="0" xfId="0" applyNumberFormat="1" applyFont="1" applyAlignment="1">
      <alignment/>
    </xf>
    <xf numFmtId="44" fontId="9" fillId="0" borderId="0" xfId="0" applyNumberFormat="1" applyFont="1" applyAlignment="1">
      <alignment/>
    </xf>
    <xf numFmtId="4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4" fontId="13" fillId="0" borderId="0" xfId="17" applyFont="1" applyAlignment="1">
      <alignment/>
    </xf>
    <xf numFmtId="44" fontId="14" fillId="0" borderId="0" xfId="17" applyFont="1" applyAlignment="1">
      <alignment/>
    </xf>
    <xf numFmtId="44" fontId="15" fillId="0" borderId="0" xfId="17" applyFont="1" applyAlignment="1">
      <alignment/>
    </xf>
    <xf numFmtId="10" fontId="13" fillId="0" borderId="0" xfId="0" applyNumberFormat="1" applyFont="1" applyAlignment="1">
      <alignment/>
    </xf>
    <xf numFmtId="44" fontId="15" fillId="0" borderId="0" xfId="0" applyNumberFormat="1" applyFont="1" applyAlignment="1">
      <alignment/>
    </xf>
    <xf numFmtId="0" fontId="16" fillId="0" borderId="0" xfId="0" applyFont="1" applyAlignment="1">
      <alignment/>
    </xf>
    <xf numFmtId="44" fontId="11" fillId="0" borderId="0" xfId="17" applyFont="1" applyAlignment="1">
      <alignment/>
    </xf>
    <xf numFmtId="0" fontId="9" fillId="0" borderId="0" xfId="0" applyFont="1" applyAlignment="1">
      <alignment/>
    </xf>
    <xf numFmtId="44" fontId="19" fillId="0" borderId="0" xfId="17" applyFont="1" applyAlignment="1">
      <alignment/>
    </xf>
    <xf numFmtId="0" fontId="20" fillId="0" borderId="0" xfId="0" applyFont="1" applyAlignment="1">
      <alignment/>
    </xf>
    <xf numFmtId="44" fontId="2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7" applyAlignment="1">
      <alignment horizontal="center"/>
    </xf>
    <xf numFmtId="1" fontId="0" fillId="0" borderId="0" xfId="0" applyNumberFormat="1" applyAlignment="1" quotePrefix="1">
      <alignment horizontal="left"/>
    </xf>
    <xf numFmtId="0" fontId="0" fillId="0" borderId="0" xfId="0" applyAlignment="1" quotePrefix="1">
      <alignment horizontal="left"/>
    </xf>
    <xf numFmtId="10" fontId="0" fillId="0" borderId="0" xfId="0" applyNumberFormat="1" applyFont="1" applyAlignment="1">
      <alignment/>
    </xf>
    <xf numFmtId="0" fontId="0" fillId="0" borderId="0" xfId="17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21" fillId="0" borderId="0" xfId="0" applyFont="1" applyAlignment="1">
      <alignment/>
    </xf>
    <xf numFmtId="44" fontId="21" fillId="0" borderId="0" xfId="0" applyNumberFormat="1" applyFont="1" applyAlignment="1">
      <alignment/>
    </xf>
    <xf numFmtId="44" fontId="22" fillId="0" borderId="0" xfId="0" applyNumberFormat="1" applyFont="1" applyAlignment="1">
      <alignment/>
    </xf>
    <xf numFmtId="44" fontId="23" fillId="0" borderId="0" xfId="17" applyFont="1" applyAlignment="1">
      <alignment/>
    </xf>
    <xf numFmtId="44" fontId="24" fillId="0" borderId="0" xfId="17" applyFont="1" applyAlignment="1">
      <alignment/>
    </xf>
    <xf numFmtId="44" fontId="25" fillId="0" borderId="0" xfId="17" applyFont="1" applyAlignment="1">
      <alignment/>
    </xf>
    <xf numFmtId="10" fontId="23" fillId="0" borderId="0" xfId="17" applyNumberFormat="1" applyFont="1" applyAlignment="1">
      <alignment/>
    </xf>
    <xf numFmtId="44" fontId="0" fillId="0" borderId="1" xfId="17" applyBorder="1" applyAlignment="1">
      <alignment/>
    </xf>
    <xf numFmtId="10" fontId="6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44" fontId="26" fillId="0" borderId="0" xfId="0" applyNumberFormat="1" applyFont="1" applyAlignment="1">
      <alignment/>
    </xf>
    <xf numFmtId="44" fontId="26" fillId="0" borderId="0" xfId="17" applyFont="1" applyAlignment="1">
      <alignment/>
    </xf>
    <xf numFmtId="44" fontId="26" fillId="0" borderId="1" xfId="0" applyNumberFormat="1" applyFont="1" applyBorder="1" applyAlignment="1">
      <alignment/>
    </xf>
    <xf numFmtId="44" fontId="10" fillId="0" borderId="1" xfId="17" applyFont="1" applyBorder="1" applyAlignment="1">
      <alignment/>
    </xf>
    <xf numFmtId="44" fontId="26" fillId="0" borderId="1" xfId="17" applyFont="1" applyBorder="1" applyAlignment="1">
      <alignment/>
    </xf>
    <xf numFmtId="10" fontId="13" fillId="0" borderId="1" xfId="0" applyNumberFormat="1" applyFont="1" applyBorder="1" applyAlignment="1">
      <alignment/>
    </xf>
    <xf numFmtId="44" fontId="10" fillId="0" borderId="0" xfId="17" applyFont="1" applyAlignment="1">
      <alignment horizontal="center"/>
    </xf>
    <xf numFmtId="44" fontId="26" fillId="0" borderId="0" xfId="0" applyNumberFormat="1" applyFont="1" applyAlignment="1">
      <alignment horizontal="center"/>
    </xf>
    <xf numFmtId="44" fontId="13" fillId="0" borderId="1" xfId="17" applyFont="1" applyBorder="1" applyAlignment="1">
      <alignment/>
    </xf>
    <xf numFmtId="44" fontId="0" fillId="0" borderId="2" xfId="17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10" fontId="0" fillId="0" borderId="0" xfId="17" applyNumberFormat="1" applyFill="1" applyAlignment="1">
      <alignment horizontal="center"/>
    </xf>
    <xf numFmtId="10" fontId="0" fillId="0" borderId="0" xfId="17" applyNumberFormat="1" applyFont="1" applyFill="1" applyAlignment="1">
      <alignment horizontal="center"/>
    </xf>
    <xf numFmtId="44" fontId="13" fillId="0" borderId="0" xfId="17" applyFont="1" applyFill="1" applyAlignment="1">
      <alignment/>
    </xf>
    <xf numFmtId="44" fontId="0" fillId="0" borderId="0" xfId="17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17" applyFont="1" applyFill="1" applyAlignment="1">
      <alignment horizontal="center"/>
    </xf>
    <xf numFmtId="44" fontId="26" fillId="0" borderId="0" xfId="17" applyFont="1" applyFill="1" applyAlignment="1">
      <alignment/>
    </xf>
    <xf numFmtId="44" fontId="26" fillId="0" borderId="1" xfId="17" applyFont="1" applyFill="1" applyBorder="1" applyAlignment="1">
      <alignment/>
    </xf>
    <xf numFmtId="0" fontId="26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0" fontId="26" fillId="0" borderId="1" xfId="0" applyFont="1" applyFill="1" applyBorder="1" applyAlignment="1">
      <alignment/>
    </xf>
    <xf numFmtId="44" fontId="0" fillId="0" borderId="0" xfId="0" applyNumberFormat="1" applyFill="1" applyAlignment="1">
      <alignment/>
    </xf>
    <xf numFmtId="0" fontId="0" fillId="0" borderId="0" xfId="0" applyFont="1" applyAlignment="1">
      <alignment horizontal="right"/>
    </xf>
    <xf numFmtId="44" fontId="26" fillId="0" borderId="0" xfId="0" applyNumberFormat="1" applyFont="1" applyBorder="1" applyAlignment="1">
      <alignment/>
    </xf>
    <xf numFmtId="44" fontId="10" fillId="0" borderId="0" xfId="17" applyFont="1" applyBorder="1" applyAlignment="1">
      <alignment/>
    </xf>
    <xf numFmtId="44" fontId="0" fillId="0" borderId="0" xfId="17" applyBorder="1" applyAlignment="1">
      <alignment/>
    </xf>
    <xf numFmtId="44" fontId="12" fillId="0" borderId="1" xfId="17" applyFont="1" applyBorder="1" applyAlignment="1">
      <alignment/>
    </xf>
    <xf numFmtId="44" fontId="27" fillId="0" borderId="0" xfId="17" applyFont="1" applyAlignment="1">
      <alignment/>
    </xf>
    <xf numFmtId="0" fontId="28" fillId="0" borderId="0" xfId="0" applyFont="1" applyAlignment="1">
      <alignment/>
    </xf>
    <xf numFmtId="44" fontId="28" fillId="0" borderId="0" xfId="17" applyFont="1" applyAlignment="1">
      <alignment/>
    </xf>
    <xf numFmtId="44" fontId="10" fillId="0" borderId="0" xfId="17" applyFont="1" applyFill="1" applyAlignment="1">
      <alignment/>
    </xf>
    <xf numFmtId="44" fontId="29" fillId="0" borderId="0" xfId="17" applyFont="1" applyFill="1" applyAlignment="1">
      <alignment/>
    </xf>
    <xf numFmtId="44" fontId="29" fillId="0" borderId="0" xfId="17" applyFont="1" applyAlignment="1">
      <alignment/>
    </xf>
    <xf numFmtId="10" fontId="13" fillId="0" borderId="0" xfId="0" applyNumberFormat="1" applyFont="1" applyBorder="1" applyAlignment="1">
      <alignment/>
    </xf>
    <xf numFmtId="44" fontId="10" fillId="0" borderId="2" xfId="17" applyFont="1" applyBorder="1" applyAlignment="1">
      <alignment/>
    </xf>
    <xf numFmtId="44" fontId="26" fillId="0" borderId="2" xfId="0" applyNumberFormat="1" applyFont="1" applyBorder="1" applyAlignment="1">
      <alignment/>
    </xf>
    <xf numFmtId="44" fontId="1" fillId="0" borderId="0" xfId="0" applyNumberFormat="1" applyFont="1" applyAlignment="1">
      <alignment horizontal="center"/>
    </xf>
    <xf numFmtId="0" fontId="30" fillId="0" borderId="0" xfId="0" applyFont="1" applyFill="1" applyBorder="1" applyAlignment="1">
      <alignment horizontal="centerContinuous"/>
    </xf>
    <xf numFmtId="44" fontId="31" fillId="0" borderId="0" xfId="17" applyFont="1" applyFill="1" applyBorder="1" applyAlignment="1">
      <alignment horizontal="centerContinuous"/>
    </xf>
    <xf numFmtId="0" fontId="31" fillId="0" borderId="0" xfId="0" applyFont="1" applyBorder="1" applyAlignment="1">
      <alignment/>
    </xf>
    <xf numFmtId="44" fontId="31" fillId="0" borderId="0" xfId="17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17" applyFont="1" applyBorder="1" applyAlignment="1">
      <alignment/>
    </xf>
    <xf numFmtId="44" fontId="31" fillId="0" borderId="0" xfId="0" applyNumberFormat="1" applyFont="1" applyBorder="1" applyAlignment="1">
      <alignment/>
    </xf>
    <xf numFmtId="44" fontId="31" fillId="0" borderId="0" xfId="17" applyFont="1" applyBorder="1" applyAlignment="1">
      <alignment horizontal="center" wrapText="1"/>
    </xf>
    <xf numFmtId="0" fontId="30" fillId="0" borderId="0" xfId="0" applyFont="1" applyBorder="1" applyAlignment="1">
      <alignment/>
    </xf>
    <xf numFmtId="44" fontId="31" fillId="0" borderId="0" xfId="17" applyFont="1" applyFill="1" applyBorder="1" applyAlignment="1">
      <alignment/>
    </xf>
    <xf numFmtId="0" fontId="31" fillId="0" borderId="0" xfId="0" applyFont="1" applyBorder="1" applyAlignment="1">
      <alignment horizontal="right"/>
    </xf>
    <xf numFmtId="0" fontId="31" fillId="0" borderId="0" xfId="0" applyFont="1" applyFill="1" applyBorder="1" applyAlignment="1">
      <alignment horizontal="centerContinuous"/>
    </xf>
    <xf numFmtId="0" fontId="31" fillId="0" borderId="0" xfId="0" applyFont="1" applyBorder="1" applyAlignment="1">
      <alignment wrapText="1"/>
    </xf>
    <xf numFmtId="44" fontId="31" fillId="0" borderId="0" xfId="0" applyNumberFormat="1" applyFont="1" applyBorder="1" applyAlignment="1">
      <alignment wrapText="1"/>
    </xf>
    <xf numFmtId="14" fontId="31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Continuous"/>
    </xf>
    <xf numFmtId="44" fontId="31" fillId="0" borderId="0" xfId="17" applyFont="1" applyBorder="1" applyAlignment="1">
      <alignment horizontal="centerContinuous"/>
    </xf>
    <xf numFmtId="44" fontId="30" fillId="0" borderId="0" xfId="17" applyFont="1" applyFill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workbookViewId="0" topLeftCell="F26">
      <selection activeCell="E34" sqref="E34"/>
    </sheetView>
  </sheetViews>
  <sheetFormatPr defaultColWidth="9.140625" defaultRowHeight="12.75"/>
  <cols>
    <col min="1" max="1" width="26.57421875" style="0" customWidth="1"/>
    <col min="2" max="2" width="7.00390625" style="0" customWidth="1"/>
    <col min="3" max="3" width="14.8515625" style="0" customWidth="1"/>
    <col min="4" max="4" width="3.57421875" style="0" customWidth="1"/>
    <col min="5" max="5" width="14.8515625" style="0" customWidth="1"/>
    <col min="6" max="6" width="2.140625" style="0" customWidth="1"/>
    <col min="7" max="7" width="14.28125" style="0" customWidth="1"/>
    <col min="8" max="8" width="14.8515625" style="0" customWidth="1"/>
    <col min="9" max="9" width="14.7109375" style="0" customWidth="1"/>
    <col min="10" max="10" width="14.00390625" style="0" customWidth="1"/>
    <col min="11" max="11" width="14.421875" style="0" customWidth="1"/>
    <col min="12" max="12" width="11.28125" style="0" bestFit="1" customWidth="1"/>
    <col min="13" max="13" width="12.57421875" style="0" customWidth="1"/>
  </cols>
  <sheetData>
    <row r="1" ht="15">
      <c r="A1" s="16" t="s">
        <v>171</v>
      </c>
    </row>
    <row r="2" spans="1:10" ht="17.25">
      <c r="A2" s="22"/>
      <c r="C2" s="47" t="s">
        <v>0</v>
      </c>
      <c r="D2" s="47"/>
      <c r="E2" s="47" t="s">
        <v>1</v>
      </c>
      <c r="F2" s="47"/>
      <c r="G2" s="47" t="s">
        <v>2</v>
      </c>
      <c r="H2" s="46" t="s">
        <v>3</v>
      </c>
      <c r="I2" s="6" t="s">
        <v>4</v>
      </c>
      <c r="J2" s="46"/>
    </row>
    <row r="3" spans="1:10" ht="12.75" customHeight="1">
      <c r="A3" s="21" t="s">
        <v>141</v>
      </c>
      <c r="C3" s="47"/>
      <c r="D3" s="47"/>
      <c r="E3" s="47"/>
      <c r="F3" s="47"/>
      <c r="G3" s="47"/>
      <c r="H3" s="46"/>
      <c r="I3" s="6"/>
      <c r="J3" s="46"/>
    </row>
    <row r="4" spans="1:12" ht="12.75">
      <c r="A4" t="s">
        <v>5</v>
      </c>
      <c r="B4" s="46" t="s">
        <v>6</v>
      </c>
      <c r="C4" s="24">
        <f>+'BAL SHEETS'!B28</f>
        <v>2679.9819554081564</v>
      </c>
      <c r="D4" s="24"/>
      <c r="E4" s="24">
        <f>+'BAL SHEETS'!C28</f>
        <v>1208.1335313253385</v>
      </c>
      <c r="F4" s="1"/>
      <c r="G4" s="28">
        <f>+C4+E4</f>
        <v>3888.115486733495</v>
      </c>
      <c r="H4" s="46" t="s">
        <v>7</v>
      </c>
      <c r="I4" s="46" t="s">
        <v>8</v>
      </c>
      <c r="K4" s="25" t="s">
        <v>9</v>
      </c>
      <c r="L4" s="25"/>
    </row>
    <row r="5" spans="1:12" ht="12.75">
      <c r="A5" t="s">
        <v>10</v>
      </c>
      <c r="B5" s="46" t="s">
        <v>6</v>
      </c>
      <c r="C5" s="24">
        <f>+'BAL SHEETS'!B29</f>
        <v>5372.996985489211</v>
      </c>
      <c r="D5" s="24"/>
      <c r="E5" s="24">
        <f>+'BAL SHEETS'!C29</f>
        <v>2286.337434837262</v>
      </c>
      <c r="F5" s="1"/>
      <c r="G5" s="28">
        <f aca="true" t="shared" si="0" ref="G5:G13">+C5+E5</f>
        <v>7659.334420326473</v>
      </c>
      <c r="H5" s="46" t="s">
        <v>7</v>
      </c>
      <c r="I5" s="46" t="s">
        <v>8</v>
      </c>
      <c r="K5" s="25" t="s">
        <v>11</v>
      </c>
      <c r="L5" s="25"/>
    </row>
    <row r="6" spans="1:9" ht="12.75">
      <c r="A6" t="s">
        <v>12</v>
      </c>
      <c r="B6" s="46" t="s">
        <v>6</v>
      </c>
      <c r="C6" s="24">
        <f>+'BAL SHEETS'!B30</f>
        <v>2701.5392678963476</v>
      </c>
      <c r="D6" s="24"/>
      <c r="E6" s="24">
        <f>+'BAL SHEETS'!C30</f>
        <v>1344.343518377162</v>
      </c>
      <c r="F6" s="1"/>
      <c r="G6" s="28">
        <f t="shared" si="0"/>
        <v>4045.8827862735097</v>
      </c>
      <c r="H6" s="46" t="s">
        <v>7</v>
      </c>
      <c r="I6" s="46" t="s">
        <v>8</v>
      </c>
    </row>
    <row r="7" spans="1:12" ht="12.75">
      <c r="A7" t="s">
        <v>191</v>
      </c>
      <c r="B7" s="46" t="s">
        <v>6</v>
      </c>
      <c r="C7" s="24">
        <f>+'BAL SHEETS'!B31</f>
        <v>5372.996985489211</v>
      </c>
      <c r="D7" s="24"/>
      <c r="E7" s="24">
        <f>+'BAL SHEETS'!C31</f>
        <v>2087.0674348372618</v>
      </c>
      <c r="F7" s="1"/>
      <c r="G7" s="28">
        <f t="shared" si="0"/>
        <v>7460.064420326473</v>
      </c>
      <c r="H7" s="46" t="s">
        <v>7</v>
      </c>
      <c r="I7" s="46" t="s">
        <v>8</v>
      </c>
      <c r="K7" s="27" t="s">
        <v>13</v>
      </c>
      <c r="L7" s="27"/>
    </row>
    <row r="8" spans="1:12" ht="12.75">
      <c r="A8" t="s">
        <v>24</v>
      </c>
      <c r="B8" s="46" t="s">
        <v>6</v>
      </c>
      <c r="C8" s="24">
        <v>0</v>
      </c>
      <c r="D8" s="24"/>
      <c r="E8" s="24">
        <f>+'BAL SHEETS'!C38</f>
        <v>1236.3933333333327</v>
      </c>
      <c r="F8" s="1"/>
      <c r="G8" s="28">
        <f>+E8</f>
        <v>1236.3933333333327</v>
      </c>
      <c r="H8" s="46" t="s">
        <v>7</v>
      </c>
      <c r="I8" s="46" t="s">
        <v>8</v>
      </c>
      <c r="K8" s="27" t="s">
        <v>16</v>
      </c>
      <c r="L8" s="27"/>
    </row>
    <row r="9" spans="1:12" ht="12.75">
      <c r="A9" t="s">
        <v>26</v>
      </c>
      <c r="B9" s="46" t="s">
        <v>6</v>
      </c>
      <c r="C9" s="24">
        <f>+'BAL SHEETS'!B39</f>
        <v>5208.6387623994015</v>
      </c>
      <c r="D9" s="24"/>
      <c r="E9" s="24">
        <f>+'BAL SHEETS'!C39</f>
        <v>1474.2495809129503</v>
      </c>
      <c r="F9" s="1"/>
      <c r="G9" s="28">
        <f t="shared" si="0"/>
        <v>6682.888343312352</v>
      </c>
      <c r="H9" s="46" t="s">
        <v>7</v>
      </c>
      <c r="I9" s="46" t="s">
        <v>8</v>
      </c>
      <c r="K9" s="27" t="s">
        <v>18</v>
      </c>
      <c r="L9" s="27"/>
    </row>
    <row r="10" spans="1:11" ht="12.75">
      <c r="A10" t="s">
        <v>189</v>
      </c>
      <c r="B10" s="46" t="s">
        <v>14</v>
      </c>
      <c r="C10" s="24">
        <f>+'BAL SHEETS'!B32</f>
        <v>31759.752327946167</v>
      </c>
      <c r="D10" s="24"/>
      <c r="E10" s="24">
        <f>+'BAL SHEETS'!C32</f>
        <v>1353.3362422743671</v>
      </c>
      <c r="F10" s="1"/>
      <c r="G10" s="28">
        <f t="shared" si="0"/>
        <v>33113.088570220534</v>
      </c>
      <c r="H10" s="46" t="s">
        <v>15</v>
      </c>
      <c r="I10" s="46" t="s">
        <v>8</v>
      </c>
      <c r="K10" s="27" t="s">
        <v>20</v>
      </c>
    </row>
    <row r="11" spans="1:9" ht="12.75">
      <c r="A11" t="s">
        <v>17</v>
      </c>
      <c r="B11" s="46" t="s">
        <v>14</v>
      </c>
      <c r="C11" s="24">
        <f>+'BAL SHEETS'!B33</f>
        <v>185432.64453700563</v>
      </c>
      <c r="D11" s="24"/>
      <c r="E11" s="24">
        <f>+'BAL SHEETS'!C33</f>
        <v>7900.085998604907</v>
      </c>
      <c r="F11" s="1"/>
      <c r="G11" s="28">
        <f t="shared" si="0"/>
        <v>193332.73053561055</v>
      </c>
      <c r="H11" s="46" t="s">
        <v>15</v>
      </c>
      <c r="I11" s="46" t="s">
        <v>8</v>
      </c>
    </row>
    <row r="12" spans="1:12" ht="12.75">
      <c r="A12" t="s">
        <v>19</v>
      </c>
      <c r="B12" s="46" t="s">
        <v>14</v>
      </c>
      <c r="C12" s="24">
        <f>+'BAL SHEETS'!B34</f>
        <v>8326.736117024187</v>
      </c>
      <c r="D12" s="24"/>
      <c r="E12" s="24">
        <f>+'BAL SHEETS'!C34</f>
        <v>1905.730516188343</v>
      </c>
      <c r="F12" s="1"/>
      <c r="G12" s="28">
        <f t="shared" si="0"/>
        <v>10232.46663321253</v>
      </c>
      <c r="H12" s="46" t="s">
        <v>15</v>
      </c>
      <c r="I12" s="46" t="s">
        <v>8</v>
      </c>
      <c r="K12" s="42" t="s">
        <v>23</v>
      </c>
      <c r="L12" s="32"/>
    </row>
    <row r="13" spans="1:12" ht="12.75">
      <c r="A13" t="s">
        <v>21</v>
      </c>
      <c r="B13" s="46" t="s">
        <v>14</v>
      </c>
      <c r="C13" s="24">
        <f>+'BAL SHEETS'!B35</f>
        <v>5392.755644535735</v>
      </c>
      <c r="D13" s="24"/>
      <c r="E13" s="24">
        <f>+'BAL SHEETS'!C35</f>
        <v>296.10074264240683</v>
      </c>
      <c r="F13" s="1"/>
      <c r="G13" s="28">
        <f t="shared" si="0"/>
        <v>5688.856387178142</v>
      </c>
      <c r="H13" s="46" t="s">
        <v>15</v>
      </c>
      <c r="I13" s="46" t="s">
        <v>8</v>
      </c>
      <c r="K13" s="42" t="s">
        <v>25</v>
      </c>
      <c r="L13" s="32"/>
    </row>
    <row r="14" spans="1:12" ht="12.75">
      <c r="A14" t="s">
        <v>22</v>
      </c>
      <c r="B14" s="46" t="s">
        <v>14</v>
      </c>
      <c r="C14" s="24">
        <v>0</v>
      </c>
      <c r="D14" s="24"/>
      <c r="E14" s="24">
        <f>+'BAL SHEETS'!C36</f>
        <v>2173.6766666666663</v>
      </c>
      <c r="F14" s="1"/>
      <c r="G14" s="28">
        <f>+E14</f>
        <v>2173.6766666666663</v>
      </c>
      <c r="H14" s="46" t="s">
        <v>15</v>
      </c>
      <c r="I14" s="46" t="s">
        <v>8</v>
      </c>
      <c r="K14" s="42" t="s">
        <v>27</v>
      </c>
      <c r="L14" s="32"/>
    </row>
    <row r="15" spans="1:11" ht="12.75">
      <c r="A15" t="s">
        <v>115</v>
      </c>
      <c r="B15" s="46" t="s">
        <v>14</v>
      </c>
      <c r="C15" s="72">
        <f>+'BAL SHEETS'!B37</f>
        <v>7517.8524168058575</v>
      </c>
      <c r="D15" s="24"/>
      <c r="E15" s="72">
        <f>+'BAL SHEETS'!C37</f>
        <v>0</v>
      </c>
      <c r="F15" s="1"/>
      <c r="G15" s="98">
        <f>+C15+E15</f>
        <v>7517.8524168058575</v>
      </c>
      <c r="H15" s="46" t="s">
        <v>15</v>
      </c>
      <c r="I15" s="46" t="s">
        <v>8</v>
      </c>
      <c r="K15" s="42" t="s">
        <v>116</v>
      </c>
    </row>
    <row r="16" spans="1:9" ht="12.75">
      <c r="A16" t="s">
        <v>144</v>
      </c>
      <c r="B16" s="46"/>
      <c r="C16" s="28">
        <f>SUM(C4:C15)</f>
        <v>259765.8949999999</v>
      </c>
      <c r="D16" s="28"/>
      <c r="E16" s="28">
        <f>SUM(E4:E15)</f>
        <v>23265.454999999998</v>
      </c>
      <c r="F16" s="28"/>
      <c r="G16" s="28">
        <f>SUM(G4:G15)</f>
        <v>283031.3499999999</v>
      </c>
      <c r="H16" s="46"/>
      <c r="I16" s="46"/>
    </row>
    <row r="17" spans="2:11" ht="12.75">
      <c r="B17" s="46"/>
      <c r="C17" s="28"/>
      <c r="D17" s="28"/>
      <c r="E17" s="28"/>
      <c r="F17" s="28"/>
      <c r="G17" s="28"/>
      <c r="H17" s="46"/>
      <c r="I17" s="46"/>
      <c r="K17" s="68" t="s">
        <v>162</v>
      </c>
    </row>
    <row r="18" spans="1:11" ht="12.75">
      <c r="A18" s="21" t="s">
        <v>142</v>
      </c>
      <c r="B18" s="46"/>
      <c r="C18" s="28"/>
      <c r="D18" s="28"/>
      <c r="E18" s="28"/>
      <c r="F18" s="28"/>
      <c r="G18" s="28"/>
      <c r="H18" s="46"/>
      <c r="I18" s="46"/>
      <c r="K18" s="68" t="s">
        <v>138</v>
      </c>
    </row>
    <row r="19" spans="1:9" ht="12.75">
      <c r="A19" s="14" t="s">
        <v>84</v>
      </c>
      <c r="B19" s="46" t="s">
        <v>143</v>
      </c>
      <c r="C19" s="28"/>
      <c r="D19" s="28"/>
      <c r="E19" s="24">
        <f>'BAL SHEETS'!C43</f>
        <v>-0.00015353172784671187</v>
      </c>
      <c r="F19" s="28"/>
      <c r="G19" s="28">
        <f>E19</f>
        <v>-0.00015353172784671187</v>
      </c>
      <c r="H19" s="46" t="s">
        <v>7</v>
      </c>
      <c r="I19" s="46" t="s">
        <v>169</v>
      </c>
    </row>
    <row r="20" spans="1:9" ht="12.75">
      <c r="A20" s="14" t="s">
        <v>168</v>
      </c>
      <c r="B20" s="46" t="s">
        <v>143</v>
      </c>
      <c r="C20" s="28"/>
      <c r="D20" s="28"/>
      <c r="E20" s="24">
        <f>'BAL SHEETS'!C44</f>
        <v>-0.0046812938217044575</v>
      </c>
      <c r="F20" s="28"/>
      <c r="G20" s="28">
        <f>E20</f>
        <v>-0.0046812938217044575</v>
      </c>
      <c r="H20" s="46" t="s">
        <v>7</v>
      </c>
      <c r="I20" s="46" t="s">
        <v>169</v>
      </c>
    </row>
    <row r="21" spans="1:9" ht="12.75">
      <c r="A21" s="14" t="s">
        <v>85</v>
      </c>
      <c r="B21" s="46" t="s">
        <v>143</v>
      </c>
      <c r="C21" s="28"/>
      <c r="D21" s="28"/>
      <c r="E21" s="72">
        <f>'BAL SHEETS'!C45</f>
        <v>739.9248348255496</v>
      </c>
      <c r="F21" s="28"/>
      <c r="G21" s="98">
        <f>E21</f>
        <v>739.9248348255496</v>
      </c>
      <c r="H21" s="46" t="s">
        <v>7</v>
      </c>
      <c r="I21" s="46" t="s">
        <v>169</v>
      </c>
    </row>
    <row r="22" spans="1:9" ht="12.75">
      <c r="A22" t="s">
        <v>145</v>
      </c>
      <c r="C22" s="28"/>
      <c r="D22" s="28"/>
      <c r="E22" s="28">
        <f>SUM(E19:E21)</f>
        <v>739.9200000000001</v>
      </c>
      <c r="F22" s="28"/>
      <c r="G22" s="28">
        <f>SUM(G19:G21)</f>
        <v>739.9200000000001</v>
      </c>
      <c r="H22" s="46"/>
      <c r="I22" s="46"/>
    </row>
    <row r="23" spans="3:7" ht="12.75">
      <c r="C23" s="98"/>
      <c r="D23" s="28"/>
      <c r="E23" s="98"/>
      <c r="F23" s="28"/>
      <c r="G23" s="98"/>
    </row>
    <row r="24" spans="1:7" ht="12.75">
      <c r="A24" t="s">
        <v>146</v>
      </c>
      <c r="C24" s="28">
        <f>C22+C16</f>
        <v>259765.8949999999</v>
      </c>
      <c r="D24" s="28"/>
      <c r="E24" s="28">
        <f>E22+E16</f>
        <v>24005.375</v>
      </c>
      <c r="F24" s="28"/>
      <c r="G24" s="28">
        <f>G22+G16</f>
        <v>283771.2699999999</v>
      </c>
    </row>
    <row r="25" spans="3:8" ht="12.75">
      <c r="C25" s="28"/>
      <c r="D25" s="28"/>
      <c r="E25" s="28"/>
      <c r="F25" s="28"/>
      <c r="G25" s="28"/>
      <c r="H25" s="2"/>
    </row>
    <row r="26" spans="3:7" ht="12.75">
      <c r="C26" s="28"/>
      <c r="D26" s="28"/>
      <c r="E26" s="28"/>
      <c r="F26" s="28"/>
      <c r="G26" s="28"/>
    </row>
    <row r="27" spans="3:7" ht="12.75">
      <c r="C27" s="28"/>
      <c r="D27" s="28"/>
      <c r="E27" s="28"/>
      <c r="F27" s="28"/>
      <c r="G27" s="28"/>
    </row>
    <row r="29" ht="15">
      <c r="A29" s="16" t="s">
        <v>137</v>
      </c>
    </row>
    <row r="30" spans="1:10" ht="15">
      <c r="A30" s="16"/>
      <c r="E30" s="58">
        <v>37802</v>
      </c>
      <c r="H30" s="58">
        <v>38168</v>
      </c>
      <c r="J30" s="46" t="s">
        <v>139</v>
      </c>
    </row>
    <row r="31" spans="3:10" ht="12.75">
      <c r="C31" s="46" t="s">
        <v>29</v>
      </c>
      <c r="D31" s="46"/>
      <c r="E31" s="46" t="s">
        <v>30</v>
      </c>
      <c r="F31" s="46"/>
      <c r="G31" s="46" t="s">
        <v>140</v>
      </c>
      <c r="H31" s="46" t="s">
        <v>30</v>
      </c>
      <c r="I31" s="46" t="s">
        <v>140</v>
      </c>
      <c r="J31" s="46" t="s">
        <v>55</v>
      </c>
    </row>
    <row r="32" spans="1:10" ht="12.75">
      <c r="A32" s="21" t="s">
        <v>159</v>
      </c>
      <c r="C32" s="46"/>
      <c r="D32" s="46"/>
      <c r="E32" s="46"/>
      <c r="F32" s="46"/>
      <c r="G32" s="46"/>
      <c r="H32" s="46"/>
      <c r="I32" s="46"/>
      <c r="J32" s="46"/>
    </row>
    <row r="33" spans="1:12" ht="12.75">
      <c r="A33" t="s">
        <v>108</v>
      </c>
      <c r="B33" s="46" t="s">
        <v>35</v>
      </c>
      <c r="C33" s="48">
        <v>4050004003</v>
      </c>
      <c r="E33" s="88">
        <v>84086.02</v>
      </c>
      <c r="F33" s="80"/>
      <c r="G33" s="81">
        <v>0.016</v>
      </c>
      <c r="H33" s="88">
        <v>68884.19</v>
      </c>
      <c r="I33" s="81">
        <f>2*J33/(H33+E33)</f>
        <v>0.01174307075867909</v>
      </c>
      <c r="J33" s="90">
        <v>898.17</v>
      </c>
      <c r="K33" s="93"/>
      <c r="L33" s="80"/>
    </row>
    <row r="34" spans="1:13" ht="12.75">
      <c r="A34" t="s">
        <v>32</v>
      </c>
      <c r="B34" s="46" t="s">
        <v>31</v>
      </c>
      <c r="C34" s="49" t="s">
        <v>34</v>
      </c>
      <c r="E34" s="88">
        <v>144331.37</v>
      </c>
      <c r="F34" s="80"/>
      <c r="G34" s="82">
        <v>0.0605</v>
      </c>
      <c r="H34" s="88">
        <v>0</v>
      </c>
      <c r="I34" s="82"/>
      <c r="J34" s="90">
        <v>6011.89</v>
      </c>
      <c r="K34" s="80"/>
      <c r="L34" s="80"/>
      <c r="M34" s="80"/>
    </row>
    <row r="35" spans="1:12" ht="12.75">
      <c r="A35" t="s">
        <v>32</v>
      </c>
      <c r="B35" s="46" t="s">
        <v>31</v>
      </c>
      <c r="C35" s="49" t="s">
        <v>33</v>
      </c>
      <c r="E35" s="88">
        <v>47532.39</v>
      </c>
      <c r="F35" s="80"/>
      <c r="G35" s="82">
        <v>0.0624</v>
      </c>
      <c r="H35" s="88">
        <v>0</v>
      </c>
      <c r="I35" s="82"/>
      <c r="J35" s="90">
        <v>1626.46</v>
      </c>
      <c r="K35" s="80"/>
      <c r="L35" s="80"/>
    </row>
    <row r="36" spans="1:12" ht="12.75">
      <c r="A36" t="s">
        <v>32</v>
      </c>
      <c r="B36" s="46" t="s">
        <v>36</v>
      </c>
      <c r="C36" s="49">
        <v>109048550</v>
      </c>
      <c r="E36" s="88">
        <v>2036.65</v>
      </c>
      <c r="F36" s="80"/>
      <c r="G36" s="82">
        <v>0.0025</v>
      </c>
      <c r="H36" s="88">
        <v>1994.96</v>
      </c>
      <c r="I36" s="81">
        <f>2*J36/(H36+E36)</f>
        <v>0.008463120192677366</v>
      </c>
      <c r="J36" s="91">
        <v>17.06</v>
      </c>
      <c r="K36" s="80"/>
      <c r="L36" s="80"/>
    </row>
    <row r="37" spans="1:12" ht="12.75">
      <c r="A37" t="s">
        <v>32</v>
      </c>
      <c r="B37" s="46" t="s">
        <v>35</v>
      </c>
      <c r="C37" s="6">
        <v>54803111</v>
      </c>
      <c r="E37" s="89">
        <v>2672.11</v>
      </c>
      <c r="F37" s="80"/>
      <c r="G37" s="81">
        <v>0.0105</v>
      </c>
      <c r="H37" s="89">
        <v>205152.2</v>
      </c>
      <c r="I37" s="81">
        <f>2*J37/(H37+E37)</f>
        <v>0.011393084860957798</v>
      </c>
      <c r="J37" s="92">
        <v>1183.88</v>
      </c>
      <c r="K37" s="80"/>
      <c r="L37" s="80"/>
    </row>
    <row r="38" spans="2:12" ht="12.75">
      <c r="B38" s="46"/>
      <c r="E38" s="83">
        <f>SUM(E33:E37)</f>
        <v>280658.54000000004</v>
      </c>
      <c r="F38" s="80"/>
      <c r="G38" s="84"/>
      <c r="H38" s="83">
        <f>SUM(H33:H37)</f>
        <v>276031.35000000003</v>
      </c>
      <c r="I38" s="84"/>
      <c r="J38" s="85">
        <f>SUM(J33:J37)</f>
        <v>9737.46</v>
      </c>
      <c r="K38" s="93"/>
      <c r="L38" s="80"/>
    </row>
    <row r="39" spans="1:12" ht="12.75">
      <c r="A39" s="21" t="s">
        <v>160</v>
      </c>
      <c r="B39" s="46"/>
      <c r="E39" s="83"/>
      <c r="F39" s="80"/>
      <c r="G39" s="84"/>
      <c r="H39" s="83"/>
      <c r="I39" s="84"/>
      <c r="J39" s="85"/>
      <c r="K39" s="80"/>
      <c r="L39" s="80"/>
    </row>
    <row r="40" spans="1:12" ht="12.75">
      <c r="A40" s="14" t="s">
        <v>161</v>
      </c>
      <c r="B40" s="45" t="s">
        <v>35</v>
      </c>
      <c r="C40" s="52">
        <v>64600053611</v>
      </c>
      <c r="E40" s="88">
        <v>15150.6</v>
      </c>
      <c r="F40" s="86"/>
      <c r="G40" s="87"/>
      <c r="H40" s="88">
        <v>0</v>
      </c>
      <c r="I40" s="87"/>
      <c r="J40" s="90">
        <v>43.44</v>
      </c>
      <c r="K40" s="80"/>
      <c r="L40" s="80"/>
    </row>
    <row r="41" spans="1:12" ht="12.75">
      <c r="A41" s="14" t="s">
        <v>161</v>
      </c>
      <c r="B41" s="45" t="s">
        <v>36</v>
      </c>
      <c r="C41" s="51">
        <v>64604947024</v>
      </c>
      <c r="E41" s="88">
        <v>405.16</v>
      </c>
      <c r="F41" s="86"/>
      <c r="G41" s="87"/>
      <c r="H41" s="88">
        <v>0</v>
      </c>
      <c r="I41" s="87"/>
      <c r="J41" s="90">
        <v>0.32</v>
      </c>
      <c r="K41" s="80"/>
      <c r="L41" s="80"/>
    </row>
    <row r="42" spans="1:12" ht="12.75">
      <c r="A42" t="s">
        <v>32</v>
      </c>
      <c r="B42" s="45" t="s">
        <v>35</v>
      </c>
      <c r="C42" s="51">
        <v>54174611</v>
      </c>
      <c r="E42" s="89">
        <v>525.12</v>
      </c>
      <c r="F42" s="86"/>
      <c r="G42" s="87"/>
      <c r="H42" s="89">
        <v>7739.92</v>
      </c>
      <c r="I42" s="81">
        <f>2*J42/(H42+E42)</f>
        <v>0.006601298965280265</v>
      </c>
      <c r="J42" s="92">
        <v>27.28</v>
      </c>
      <c r="K42" s="80"/>
      <c r="L42" s="80"/>
    </row>
    <row r="43" spans="5:12" ht="12.75">
      <c r="E43" s="83">
        <f>SUM(E40:E42)</f>
        <v>16080.880000000001</v>
      </c>
      <c r="F43" s="80"/>
      <c r="G43" s="84"/>
      <c r="H43" s="83">
        <f>SUM(H40:H42)</f>
        <v>7739.92</v>
      </c>
      <c r="I43" s="84"/>
      <c r="J43" s="85">
        <f>SUM(J40:J42)</f>
        <v>71.03999999999999</v>
      </c>
      <c r="K43" s="80"/>
      <c r="L43" s="80"/>
    </row>
    <row r="44" spans="5:10" ht="13.5" thickBot="1">
      <c r="E44" s="78"/>
      <c r="G44" s="1"/>
      <c r="H44" s="79"/>
      <c r="I44" s="2"/>
      <c r="J44" s="79"/>
    </row>
    <row r="45" spans="5:10" ht="13.5" thickTop="1">
      <c r="E45" s="33">
        <f>E43+E38</f>
        <v>296739.42000000004</v>
      </c>
      <c r="F45" s="32"/>
      <c r="G45" s="33"/>
      <c r="H45" s="33">
        <f>H43+H38</f>
        <v>283771.27</v>
      </c>
      <c r="I45" s="31"/>
      <c r="J45" s="33">
        <f>J43+J38</f>
        <v>9808.5</v>
      </c>
    </row>
    <row r="46" spans="5:10" ht="12.75">
      <c r="E46" s="1"/>
      <c r="G46" s="1"/>
      <c r="J46" s="2"/>
    </row>
    <row r="47" spans="1:10" ht="15">
      <c r="A47" s="16" t="s">
        <v>136</v>
      </c>
      <c r="E47" s="1"/>
      <c r="G47" s="1"/>
      <c r="J47" s="2"/>
    </row>
    <row r="48" spans="1:10" ht="15">
      <c r="A48" s="16"/>
      <c r="E48" s="1"/>
      <c r="G48" s="1"/>
      <c r="J48" s="2"/>
    </row>
    <row r="49" spans="1:8" ht="12.75">
      <c r="A49" s="21" t="s">
        <v>37</v>
      </c>
      <c r="C49" s="21"/>
      <c r="E49" s="2"/>
      <c r="G49" s="46" t="s">
        <v>107</v>
      </c>
      <c r="H49" s="46" t="s">
        <v>113</v>
      </c>
    </row>
    <row r="50" spans="1:8" ht="12.75">
      <c r="A50" s="23" t="s">
        <v>96</v>
      </c>
      <c r="C50" s="21"/>
      <c r="E50" s="2"/>
      <c r="G50" s="20">
        <f>+Sheet1!B11</f>
        <v>14481.441963924772</v>
      </c>
      <c r="H50" s="29">
        <f>+Sheet1!F11</f>
        <v>13628.930166376691</v>
      </c>
    </row>
    <row r="51" spans="1:8" ht="12.75">
      <c r="A51" t="s">
        <v>94</v>
      </c>
      <c r="G51" s="2">
        <v>10550</v>
      </c>
      <c r="H51" s="30">
        <v>11100</v>
      </c>
    </row>
    <row r="52" spans="1:7" ht="12.75">
      <c r="A52" t="s">
        <v>38</v>
      </c>
      <c r="G52" s="2">
        <v>9622.48</v>
      </c>
    </row>
    <row r="53" spans="1:8" ht="12.75">
      <c r="A53" t="s">
        <v>39</v>
      </c>
      <c r="G53" s="43">
        <f>+G51-G50</f>
        <v>-3931.4419639247717</v>
      </c>
      <c r="H53" s="43">
        <f>+H51-H50</f>
        <v>-2528.930166376691</v>
      </c>
    </row>
    <row r="54" spans="1:8" ht="12.75">
      <c r="A54" t="s">
        <v>97</v>
      </c>
      <c r="G54" s="26">
        <f>+G50-G52</f>
        <v>4858.961963924772</v>
      </c>
      <c r="H54" s="26"/>
    </row>
    <row r="56" spans="3:11" ht="12.75">
      <c r="C56" s="2"/>
      <c r="G56" s="2"/>
      <c r="J56" s="2">
        <f>SUM(C10:C15)</f>
        <v>238429.74104331757</v>
      </c>
      <c r="K56" s="40" t="s">
        <v>89</v>
      </c>
    </row>
    <row r="57" spans="1:11" ht="12.75">
      <c r="A57" t="s">
        <v>28</v>
      </c>
      <c r="J57" s="2">
        <f>SUM(C4:C9)</f>
        <v>21336.153956682327</v>
      </c>
      <c r="K57" s="40" t="s">
        <v>90</v>
      </c>
    </row>
    <row r="58" spans="10:11" ht="12.75">
      <c r="J58" s="2">
        <f>SUM(J56:J57)</f>
        <v>259765.8949999999</v>
      </c>
      <c r="K58" s="40" t="s">
        <v>91</v>
      </c>
    </row>
    <row r="59" spans="10:11" ht="12.75">
      <c r="J59" s="2">
        <f>E24</f>
        <v>24005.375</v>
      </c>
      <c r="K59" s="40" t="s">
        <v>92</v>
      </c>
    </row>
    <row r="60" spans="10:11" ht="12.75">
      <c r="J60" s="2">
        <f>SUM(J58:J59)</f>
        <v>283771.2699999999</v>
      </c>
      <c r="K60" s="40" t="s">
        <v>93</v>
      </c>
    </row>
  </sheetData>
  <printOptions gridLines="1" horizontalCentered="1"/>
  <pageMargins left="0.25" right="0.25" top="0.56" bottom="0.5" header="0.17" footer="0.5"/>
  <pageSetup fitToHeight="1" fitToWidth="1" horizontalDpi="300" verticalDpi="300" orientation="landscape" scale="67" r:id="rId1"/>
  <headerFooter alignWithMargins="0">
    <oddHeader>&amp;C&amp;A</oddHeader>
    <oddFooter>&amp;CPage &amp;P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workbookViewId="0" topLeftCell="A1">
      <selection activeCell="A1" sqref="A1"/>
    </sheetView>
  </sheetViews>
  <sheetFormatPr defaultColWidth="9.140625" defaultRowHeight="12.75"/>
  <cols>
    <col min="1" max="1" width="27.57421875" style="0" customWidth="1"/>
    <col min="2" max="2" width="3.7109375" style="0" customWidth="1"/>
    <col min="3" max="3" width="14.57421875" style="0" customWidth="1"/>
    <col min="4" max="4" width="15.140625" style="0" customWidth="1"/>
    <col min="5" max="15" width="13.00390625" style="0" customWidth="1"/>
    <col min="16" max="16" width="13.28125" style="0" customWidth="1"/>
  </cols>
  <sheetData>
    <row r="1" spans="1:4" ht="17.25">
      <c r="A1" s="22"/>
      <c r="B1" s="22"/>
      <c r="C1" s="22"/>
      <c r="D1" s="17" t="s">
        <v>95</v>
      </c>
    </row>
    <row r="2" spans="5:12" ht="12.75">
      <c r="E2" t="s">
        <v>134</v>
      </c>
      <c r="L2" s="38" t="s">
        <v>40</v>
      </c>
    </row>
    <row r="3" spans="11:12" ht="12.75">
      <c r="K3" s="4"/>
      <c r="L3" s="38" t="s">
        <v>41</v>
      </c>
    </row>
    <row r="5" spans="1:13" ht="15">
      <c r="A5" s="14" t="s">
        <v>42</v>
      </c>
      <c r="B5" s="14"/>
      <c r="C5" s="14"/>
      <c r="D5" s="11">
        <v>7638.35</v>
      </c>
      <c r="E5" s="14"/>
      <c r="F5" s="11"/>
      <c r="H5" s="12"/>
      <c r="L5" s="25" t="s">
        <v>43</v>
      </c>
      <c r="M5" s="25"/>
    </row>
    <row r="6" spans="1:13" ht="15">
      <c r="A6" s="14" t="s">
        <v>44</v>
      </c>
      <c r="B6" s="14"/>
      <c r="C6" s="14"/>
      <c r="D6" s="11">
        <f>17.06+2082.05+71.04</f>
        <v>2170.15</v>
      </c>
      <c r="E6" s="14"/>
      <c r="F6" s="15"/>
      <c r="H6" s="11"/>
      <c r="L6" s="25" t="s">
        <v>11</v>
      </c>
      <c r="M6" s="25"/>
    </row>
    <row r="7" spans="1:8" ht="15">
      <c r="A7" s="14" t="s">
        <v>45</v>
      </c>
      <c r="B7" s="14"/>
      <c r="C7" s="14"/>
      <c r="D7" s="11">
        <v>353.48</v>
      </c>
      <c r="E7" s="14"/>
      <c r="F7" s="15"/>
      <c r="H7" s="11"/>
    </row>
    <row r="8" spans="1:13" ht="15">
      <c r="A8" s="14" t="s">
        <v>46</v>
      </c>
      <c r="B8" s="14"/>
      <c r="C8" s="14"/>
      <c r="D8" s="11">
        <v>706.96</v>
      </c>
      <c r="E8" s="14"/>
      <c r="F8" s="15"/>
      <c r="H8" s="11"/>
      <c r="L8" s="27" t="s">
        <v>47</v>
      </c>
      <c r="M8" s="27"/>
    </row>
    <row r="9" spans="1:13" ht="15">
      <c r="A9" s="14" t="s">
        <v>119</v>
      </c>
      <c r="B9" s="14"/>
      <c r="C9" s="14"/>
      <c r="D9" s="11">
        <v>0</v>
      </c>
      <c r="E9" s="14"/>
      <c r="F9" s="15"/>
      <c r="H9" s="11"/>
      <c r="L9" s="27" t="s">
        <v>48</v>
      </c>
      <c r="M9" s="27"/>
    </row>
    <row r="10" spans="1:13" ht="12.75">
      <c r="A10" s="14" t="s">
        <v>28</v>
      </c>
      <c r="B10" s="14"/>
      <c r="C10" s="14"/>
      <c r="D10" s="66"/>
      <c r="E10" s="14"/>
      <c r="F10" s="15"/>
      <c r="H10" s="1"/>
      <c r="M10" s="27"/>
    </row>
    <row r="11" spans="1:12" ht="15">
      <c r="A11" s="16" t="s">
        <v>49</v>
      </c>
      <c r="B11" s="16"/>
      <c r="C11" s="16"/>
      <c r="D11" s="11">
        <f>SUM(D5:D10)</f>
        <v>10868.939999999999</v>
      </c>
      <c r="E11" s="16"/>
      <c r="F11" s="13"/>
      <c r="H11" s="35"/>
      <c r="L11" s="32" t="s">
        <v>50</v>
      </c>
    </row>
    <row r="12" spans="1:13" ht="15">
      <c r="A12" s="10"/>
      <c r="B12" s="10"/>
      <c r="C12" s="10"/>
      <c r="D12" s="10"/>
      <c r="E12" s="10"/>
      <c r="F12" s="10"/>
      <c r="L12" s="32" t="s">
        <v>52</v>
      </c>
      <c r="M12" s="32"/>
    </row>
    <row r="13" spans="1:13" ht="15">
      <c r="A13" s="16" t="s">
        <v>51</v>
      </c>
      <c r="B13" s="10"/>
      <c r="C13" s="10"/>
      <c r="D13" s="10"/>
      <c r="E13" s="10"/>
      <c r="F13" s="10"/>
      <c r="L13" s="32"/>
      <c r="M13" s="32"/>
    </row>
    <row r="14" spans="1:13" ht="15">
      <c r="A14" t="s">
        <v>53</v>
      </c>
      <c r="B14" s="10"/>
      <c r="C14" s="10"/>
      <c r="D14" s="10"/>
      <c r="E14" s="10"/>
      <c r="F14" s="10"/>
      <c r="L14" s="100" t="s">
        <v>164</v>
      </c>
      <c r="M14" s="32"/>
    </row>
    <row r="15" spans="1:13" ht="15">
      <c r="A15" s="7" t="s">
        <v>54</v>
      </c>
      <c r="B15" s="10"/>
      <c r="C15" s="10"/>
      <c r="D15" s="10"/>
      <c r="E15" s="10"/>
      <c r="F15" s="10"/>
      <c r="L15" s="100" t="s">
        <v>165</v>
      </c>
      <c r="M15" s="32"/>
    </row>
    <row r="16" spans="1:13" ht="15">
      <c r="A16" s="10"/>
      <c r="B16" s="10"/>
      <c r="C16" s="10"/>
      <c r="D16" s="10"/>
      <c r="E16" s="10"/>
      <c r="F16" s="10"/>
      <c r="L16" s="32"/>
      <c r="M16" s="32"/>
    </row>
    <row r="17" spans="1:15" s="53" customFormat="1" ht="15">
      <c r="A17" s="54"/>
      <c r="B17" s="54"/>
      <c r="C17" s="57" t="s">
        <v>120</v>
      </c>
      <c r="D17" s="55" t="s">
        <v>120</v>
      </c>
      <c r="E17" s="55" t="s">
        <v>121</v>
      </c>
      <c r="F17" s="55" t="s">
        <v>125</v>
      </c>
      <c r="G17" s="55" t="s">
        <v>127</v>
      </c>
      <c r="H17" s="55" t="s">
        <v>125</v>
      </c>
      <c r="I17" s="55" t="s">
        <v>122</v>
      </c>
      <c r="J17" s="56" t="s">
        <v>120</v>
      </c>
      <c r="K17" s="56" t="s">
        <v>127</v>
      </c>
      <c r="L17" s="56" t="s">
        <v>129</v>
      </c>
      <c r="M17" s="56" t="s">
        <v>129</v>
      </c>
      <c r="N17" s="56" t="s">
        <v>122</v>
      </c>
      <c r="O17" s="57" t="s">
        <v>122</v>
      </c>
    </row>
    <row r="18" spans="3:15" s="53" customFormat="1" ht="12.75">
      <c r="C18" s="57" t="s">
        <v>135</v>
      </c>
      <c r="D18" s="55" t="s">
        <v>123</v>
      </c>
      <c r="E18" s="55" t="s">
        <v>123</v>
      </c>
      <c r="F18" s="55" t="s">
        <v>126</v>
      </c>
      <c r="G18" s="55" t="s">
        <v>128</v>
      </c>
      <c r="H18" s="55" t="s">
        <v>130</v>
      </c>
      <c r="I18" s="55" t="s">
        <v>123</v>
      </c>
      <c r="J18" s="56" t="s">
        <v>124</v>
      </c>
      <c r="K18" s="56" t="s">
        <v>133</v>
      </c>
      <c r="L18" s="56" t="s">
        <v>131</v>
      </c>
      <c r="M18" s="56" t="s">
        <v>132</v>
      </c>
      <c r="N18" s="56" t="s">
        <v>124</v>
      </c>
      <c r="O18" s="57" t="s">
        <v>135</v>
      </c>
    </row>
    <row r="19" spans="1:15" s="14" customFormat="1" ht="12.75">
      <c r="A19" s="21" t="s">
        <v>147</v>
      </c>
      <c r="B19" s="21"/>
      <c r="C19" s="101">
        <f>FUNDS!E45</f>
        <v>296739.42000000004</v>
      </c>
      <c r="D19" s="33">
        <f>D37</f>
        <v>257582.14899999992</v>
      </c>
      <c r="E19" s="36"/>
      <c r="F19" s="31">
        <f>SUM(F20:F22)</f>
        <v>10868.94</v>
      </c>
      <c r="G19" s="33">
        <f aca="true" t="shared" si="0" ref="G19:N19">G42+G37</f>
        <v>973.746</v>
      </c>
      <c r="H19" s="33">
        <f t="shared" si="0"/>
        <v>1349</v>
      </c>
      <c r="I19" s="33">
        <f t="shared" si="0"/>
        <v>259765.8949999999</v>
      </c>
      <c r="J19" s="33">
        <f t="shared" si="0"/>
        <v>39157.27100000001</v>
      </c>
      <c r="K19" s="33">
        <f t="shared" si="0"/>
        <v>9895.194</v>
      </c>
      <c r="L19" s="33">
        <f t="shared" si="0"/>
        <v>15586.09</v>
      </c>
      <c r="M19" s="33">
        <f t="shared" si="0"/>
        <v>9600</v>
      </c>
      <c r="N19" s="33">
        <f t="shared" si="0"/>
        <v>24005.375</v>
      </c>
      <c r="O19" s="33">
        <f>D19+G19+H19+J19+K19-L19-M19</f>
        <v>283771.26999999996</v>
      </c>
    </row>
    <row r="20" spans="1:16" ht="15">
      <c r="A20" s="10"/>
      <c r="B20" s="10"/>
      <c r="C20" s="15"/>
      <c r="D20" s="10"/>
      <c r="E20" s="67" t="s">
        <v>157</v>
      </c>
      <c r="F20" s="101">
        <f>FUNDS!J43</f>
        <v>71.03999999999999</v>
      </c>
      <c r="P20" s="2"/>
    </row>
    <row r="21" spans="1:15" ht="15">
      <c r="A21" s="10"/>
      <c r="B21" s="10"/>
      <c r="C21" s="15"/>
      <c r="D21" s="10"/>
      <c r="E21" s="67" t="s">
        <v>158</v>
      </c>
      <c r="F21" s="101">
        <f>FUNDS!J38</f>
        <v>9737.46</v>
      </c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5">
      <c r="A22" s="10"/>
      <c r="B22" s="10"/>
      <c r="C22" s="15"/>
      <c r="D22" s="10"/>
      <c r="E22" s="67" t="s">
        <v>163</v>
      </c>
      <c r="F22" s="33">
        <f>F30+F34</f>
        <v>1060.44</v>
      </c>
      <c r="G22" s="15"/>
      <c r="H22" s="15"/>
      <c r="I22" s="15"/>
      <c r="J22" s="15"/>
      <c r="K22" s="15"/>
      <c r="L22" s="15"/>
      <c r="M22" s="15"/>
      <c r="N22" s="15"/>
      <c r="O22" s="15"/>
    </row>
    <row r="23" spans="3:15" ht="12.75">
      <c r="C23" s="15"/>
      <c r="D23" s="14"/>
      <c r="E23" s="50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21" t="s">
        <v>141</v>
      </c>
      <c r="C24" s="15"/>
      <c r="D24" s="14"/>
      <c r="E24" s="50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6" s="14" customFormat="1" ht="12.75">
      <c r="A25" s="14" t="s">
        <v>10</v>
      </c>
      <c r="B25" s="45" t="s">
        <v>6</v>
      </c>
      <c r="C25" s="15"/>
      <c r="D25" s="24">
        <f>'BAL SHEETS'!B4</f>
        <v>5352.761769724232</v>
      </c>
      <c r="E25" s="36">
        <f>D25/$D$37</f>
        <v>0.020780794750354513</v>
      </c>
      <c r="F25" s="33">
        <f>$F$21*E25</f>
        <v>202.35215764978705</v>
      </c>
      <c r="G25" s="33">
        <f>0.1*F25</f>
        <v>20.235215764978705</v>
      </c>
      <c r="H25" s="15">
        <v>0</v>
      </c>
      <c r="I25" s="33">
        <f>D25+G25+H25</f>
        <v>5372.996985489211</v>
      </c>
      <c r="J25" s="102">
        <f>Sheet1!B16</f>
        <v>2104.220492952454</v>
      </c>
      <c r="K25" s="33">
        <f>F25-G25</f>
        <v>182.11694188480834</v>
      </c>
      <c r="L25" s="39">
        <f>DISTRIBUTIONS!I34</f>
        <v>0</v>
      </c>
      <c r="M25" s="39">
        <v>0</v>
      </c>
      <c r="N25" s="33">
        <f>J25+K25-L25-M25</f>
        <v>2286.3374348372627</v>
      </c>
      <c r="O25" s="33">
        <f>N25+I25</f>
        <v>7659.334420326473</v>
      </c>
      <c r="P25" s="44"/>
    </row>
    <row r="26" spans="1:16" s="14" customFormat="1" ht="12.75">
      <c r="A26" s="14" t="s">
        <v>12</v>
      </c>
      <c r="B26" s="45" t="s">
        <v>6</v>
      </c>
      <c r="C26" s="15"/>
      <c r="D26" s="24">
        <f>'BAL SHEETS'!B5</f>
        <v>2691.36501502945</v>
      </c>
      <c r="E26" s="36">
        <f aca="true" t="shared" si="1" ref="E26:E36">D26/$D$37</f>
        <v>0.010448569613531142</v>
      </c>
      <c r="F26" s="33">
        <f>$F$21*E26</f>
        <v>101.74252866897494</v>
      </c>
      <c r="G26" s="33">
        <f aca="true" t="shared" si="2" ref="G26:G36">0.1*F26</f>
        <v>10.174252866897495</v>
      </c>
      <c r="H26" s="15">
        <v>0</v>
      </c>
      <c r="I26" s="33">
        <f aca="true" t="shared" si="3" ref="I26:I36">D26+G26+H26</f>
        <v>2701.5392678963476</v>
      </c>
      <c r="J26" s="102">
        <f>Sheet1!B17</f>
        <v>1252.7752425750843</v>
      </c>
      <c r="K26" s="33">
        <f aca="true" t="shared" si="4" ref="K26:K36">F26-G26</f>
        <v>91.56827580207745</v>
      </c>
      <c r="L26" s="39">
        <f>DISTRIBUTIONS!I35</f>
        <v>0</v>
      </c>
      <c r="M26" s="39">
        <v>0</v>
      </c>
      <c r="N26" s="33">
        <f aca="true" t="shared" si="5" ref="N26:N36">J26+K26-L26-M26</f>
        <v>1344.343518377162</v>
      </c>
      <c r="O26" s="33">
        <f aca="true" t="shared" si="6" ref="O26:O36">N26+I26</f>
        <v>4045.8827862735097</v>
      </c>
      <c r="P26" s="44"/>
    </row>
    <row r="27" spans="1:16" s="14" customFormat="1" ht="12.75">
      <c r="A27" s="14" t="s">
        <v>26</v>
      </c>
      <c r="B27" s="45" t="s">
        <v>6</v>
      </c>
      <c r="C27" s="15"/>
      <c r="D27" s="24">
        <f>'BAL SHEETS'!B14</f>
        <v>5189.022535276321</v>
      </c>
      <c r="E27" s="36">
        <f t="shared" si="1"/>
        <v>0.020145117025467174</v>
      </c>
      <c r="F27" s="33">
        <f>$F$21*E27</f>
        <v>196.16227123080557</v>
      </c>
      <c r="G27" s="33">
        <f t="shared" si="2"/>
        <v>19.61622712308056</v>
      </c>
      <c r="H27" s="15">
        <v>0</v>
      </c>
      <c r="I27" s="33">
        <f t="shared" si="3"/>
        <v>5208.6387623994015</v>
      </c>
      <c r="J27" s="102">
        <f>Sheet1!B20</f>
        <v>1297.7035368052252</v>
      </c>
      <c r="K27" s="33">
        <f t="shared" si="4"/>
        <v>176.546044107725</v>
      </c>
      <c r="L27" s="39">
        <f>DISTRIBUTIONS!I37</f>
        <v>0</v>
      </c>
      <c r="M27" s="39">
        <v>0</v>
      </c>
      <c r="N27" s="33">
        <f t="shared" si="5"/>
        <v>1474.2495809129503</v>
      </c>
      <c r="O27" s="33">
        <f t="shared" si="6"/>
        <v>6682.888343312352</v>
      </c>
      <c r="P27" s="44"/>
    </row>
    <row r="28" spans="1:16" s="14" customFormat="1" ht="12.75">
      <c r="A28" s="14" t="s">
        <v>191</v>
      </c>
      <c r="B28" s="45" t="s">
        <v>6</v>
      </c>
      <c r="C28" s="15"/>
      <c r="D28" s="24">
        <f>'BAL SHEETS'!B6</f>
        <v>5352.761769724232</v>
      </c>
      <c r="E28" s="36">
        <f t="shared" si="1"/>
        <v>0.020780794750354513</v>
      </c>
      <c r="F28" s="33">
        <f>$F$21*E28</f>
        <v>202.35215764978705</v>
      </c>
      <c r="G28" s="33">
        <f t="shared" si="2"/>
        <v>20.235215764978705</v>
      </c>
      <c r="H28" s="15">
        <v>0</v>
      </c>
      <c r="I28" s="33">
        <f t="shared" si="3"/>
        <v>5372.996985489211</v>
      </c>
      <c r="J28" s="102">
        <f>Sheet1!B18</f>
        <v>1904.9504929524537</v>
      </c>
      <c r="K28" s="33">
        <f t="shared" si="4"/>
        <v>182.11694188480834</v>
      </c>
      <c r="L28" s="39">
        <f>DISTRIBUTIONS!I36</f>
        <v>0</v>
      </c>
      <c r="M28" s="39">
        <v>0</v>
      </c>
      <c r="N28" s="33">
        <f t="shared" si="5"/>
        <v>2087.067434837262</v>
      </c>
      <c r="O28" s="33">
        <f t="shared" si="6"/>
        <v>7460.064420326473</v>
      </c>
      <c r="P28" s="44"/>
    </row>
    <row r="29" spans="1:16" s="14" customFormat="1" ht="12.75">
      <c r="A29" s="14" t="s">
        <v>5</v>
      </c>
      <c r="B29" s="45" t="s">
        <v>6</v>
      </c>
      <c r="C29" s="15"/>
      <c r="D29" s="24">
        <f>'BAL SHEETS'!B3</f>
        <v>2669.88888942275</v>
      </c>
      <c r="E29" s="36">
        <f t="shared" si="1"/>
        <v>0.010365193782985135</v>
      </c>
      <c r="F29" s="33">
        <f>$F$21*E29</f>
        <v>100.93065985406642</v>
      </c>
      <c r="G29" s="33">
        <f t="shared" si="2"/>
        <v>10.093065985406643</v>
      </c>
      <c r="H29" s="15">
        <v>0</v>
      </c>
      <c r="I29" s="33">
        <f t="shared" si="3"/>
        <v>2679.9819554081564</v>
      </c>
      <c r="J29" s="102">
        <f>Sheet1!B15</f>
        <v>1117.2959374566788</v>
      </c>
      <c r="K29" s="33">
        <f t="shared" si="4"/>
        <v>90.83759386865978</v>
      </c>
      <c r="L29" s="39">
        <f>DISTRIBUTIONS!I33</f>
        <v>0</v>
      </c>
      <c r="M29" s="39">
        <v>0</v>
      </c>
      <c r="N29" s="33">
        <f t="shared" si="5"/>
        <v>1208.1335313253385</v>
      </c>
      <c r="O29" s="33">
        <f t="shared" si="6"/>
        <v>3888.115486733495</v>
      </c>
      <c r="P29" s="44"/>
    </row>
    <row r="30" spans="1:16" s="14" customFormat="1" ht="12.75">
      <c r="A30" s="14" t="s">
        <v>57</v>
      </c>
      <c r="B30" s="45" t="s">
        <v>6</v>
      </c>
      <c r="C30" s="15"/>
      <c r="D30" s="24">
        <v>0</v>
      </c>
      <c r="E30" s="36">
        <f t="shared" si="1"/>
        <v>0</v>
      </c>
      <c r="F30" s="15">
        <v>353.48</v>
      </c>
      <c r="G30" s="33">
        <v>0</v>
      </c>
      <c r="H30" s="15">
        <v>0</v>
      </c>
      <c r="I30" s="33">
        <f t="shared" si="3"/>
        <v>0</v>
      </c>
      <c r="J30" s="102">
        <f>Sheet1!B19</f>
        <v>918.0033333333329</v>
      </c>
      <c r="K30" s="33">
        <f t="shared" si="4"/>
        <v>353.48</v>
      </c>
      <c r="L30" s="39">
        <f>DISTRIBUTIONS!I32</f>
        <v>35.090000000000146</v>
      </c>
      <c r="M30" s="39">
        <v>0</v>
      </c>
      <c r="N30" s="33">
        <f t="shared" si="5"/>
        <v>1236.3933333333327</v>
      </c>
      <c r="O30" s="33">
        <f t="shared" si="6"/>
        <v>1236.3933333333327</v>
      </c>
      <c r="P30" s="44"/>
    </row>
    <row r="31" spans="1:16" s="14" customFormat="1" ht="12.75">
      <c r="A31" s="14" t="s">
        <v>21</v>
      </c>
      <c r="B31" s="45" t="s">
        <v>14</v>
      </c>
      <c r="C31" s="15"/>
      <c r="D31" s="24">
        <f>'BAL SHEETS'!B10</f>
        <v>5372.446015788558</v>
      </c>
      <c r="E31" s="36">
        <f t="shared" si="1"/>
        <v>0.0208572140447068</v>
      </c>
      <c r="F31" s="33">
        <f>$F$21*E31</f>
        <v>203.09628747177067</v>
      </c>
      <c r="G31" s="33">
        <f t="shared" si="2"/>
        <v>20.30962874717707</v>
      </c>
      <c r="H31" s="15">
        <v>0</v>
      </c>
      <c r="I31" s="33">
        <f t="shared" si="3"/>
        <v>5392.755644535735</v>
      </c>
      <c r="J31" s="102">
        <f>Sheet1!B8</f>
        <v>345.82416074987964</v>
      </c>
      <c r="K31" s="33">
        <f t="shared" si="4"/>
        <v>182.7866587245936</v>
      </c>
      <c r="L31" s="39">
        <v>0</v>
      </c>
      <c r="M31" s="33">
        <f>K31</f>
        <v>182.7866587245936</v>
      </c>
      <c r="N31" s="33">
        <f t="shared" si="5"/>
        <v>345.82416074987964</v>
      </c>
      <c r="O31" s="33">
        <f t="shared" si="6"/>
        <v>5738.579805285614</v>
      </c>
      <c r="P31" s="44"/>
    </row>
    <row r="32" spans="1:16" s="14" customFormat="1" ht="12.75">
      <c r="A32" s="14" t="s">
        <v>19</v>
      </c>
      <c r="B32" s="45" t="s">
        <v>14</v>
      </c>
      <c r="C32" s="15"/>
      <c r="D32" s="24">
        <f>'BAL SHEETS'!B9</f>
        <v>8295.376839808683</v>
      </c>
      <c r="E32" s="36">
        <f t="shared" si="1"/>
        <v>0.03220478155032663</v>
      </c>
      <c r="F32" s="33">
        <f>$F$21*E32</f>
        <v>313.5927721550436</v>
      </c>
      <c r="G32" s="33">
        <f t="shared" si="2"/>
        <v>31.35927721550436</v>
      </c>
      <c r="H32" s="15">
        <v>0</v>
      </c>
      <c r="I32" s="33">
        <f t="shared" si="3"/>
        <v>8326.736117024187</v>
      </c>
      <c r="J32" s="102">
        <f>Sheet1!B7</f>
        <v>1856.0070980808705</v>
      </c>
      <c r="K32" s="33">
        <f t="shared" si="4"/>
        <v>282.23349493953924</v>
      </c>
      <c r="L32" s="39">
        <v>0</v>
      </c>
      <c r="M32" s="39">
        <f>DISTRIBUTIONS!I17-'INCOME &amp; PRINCIPAL'!M31</f>
        <v>282.23349493953924</v>
      </c>
      <c r="N32" s="33">
        <f t="shared" si="5"/>
        <v>1856.0070980808703</v>
      </c>
      <c r="O32" s="33">
        <f t="shared" si="6"/>
        <v>10182.743215105058</v>
      </c>
      <c r="P32" s="44"/>
    </row>
    <row r="33" spans="1:16" s="14" customFormat="1" ht="12.75">
      <c r="A33" s="14" t="s">
        <v>189</v>
      </c>
      <c r="B33" s="45" t="s">
        <v>14</v>
      </c>
      <c r="C33" s="15"/>
      <c r="D33" s="24">
        <f>'BAL SHEETS'!B7</f>
        <v>31640.142091287948</v>
      </c>
      <c r="E33" s="36">
        <f t="shared" si="1"/>
        <v>0.12283515070482605</v>
      </c>
      <c r="F33" s="33">
        <f>$F$21*E33</f>
        <v>1196.1023665822154</v>
      </c>
      <c r="G33" s="33">
        <f t="shared" si="2"/>
        <v>119.61023665822154</v>
      </c>
      <c r="H33" s="15">
        <v>0</v>
      </c>
      <c r="I33" s="33">
        <f t="shared" si="3"/>
        <v>31759.752327946167</v>
      </c>
      <c r="J33" s="102">
        <f>Sheet1!B5</f>
        <v>1493.6385138806972</v>
      </c>
      <c r="K33" s="33">
        <f t="shared" si="4"/>
        <v>1076.4921299239938</v>
      </c>
      <c r="L33" s="39">
        <v>0</v>
      </c>
      <c r="M33" s="39">
        <f>DISTRIBUTIONS!I20</f>
        <v>1216.794401530324</v>
      </c>
      <c r="N33" s="33">
        <f t="shared" si="5"/>
        <v>1353.3362422743674</v>
      </c>
      <c r="O33" s="33">
        <f t="shared" si="6"/>
        <v>33113.088570220534</v>
      </c>
      <c r="P33" s="44"/>
    </row>
    <row r="34" spans="1:16" s="14" customFormat="1" ht="12.75">
      <c r="A34" s="14" t="s">
        <v>56</v>
      </c>
      <c r="B34" s="45" t="s">
        <v>14</v>
      </c>
      <c r="C34" s="15"/>
      <c r="D34" s="24">
        <v>0</v>
      </c>
      <c r="E34" s="36">
        <f t="shared" si="1"/>
        <v>0</v>
      </c>
      <c r="F34" s="15">
        <v>706.96</v>
      </c>
      <c r="G34" s="33">
        <v>0</v>
      </c>
      <c r="H34" s="15">
        <v>0</v>
      </c>
      <c r="I34" s="33">
        <f t="shared" si="3"/>
        <v>0</v>
      </c>
      <c r="J34" s="102">
        <f>Sheet1!B9</f>
        <v>2066.7166666666662</v>
      </c>
      <c r="K34" s="33">
        <f t="shared" si="4"/>
        <v>706.96</v>
      </c>
      <c r="L34" s="39">
        <v>0</v>
      </c>
      <c r="M34" s="39">
        <f>DISTRIBUTIONS!I18</f>
        <v>600</v>
      </c>
      <c r="N34" s="33">
        <f t="shared" si="5"/>
        <v>2173.6766666666663</v>
      </c>
      <c r="O34" s="33">
        <f t="shared" si="6"/>
        <v>2173.6766666666663</v>
      </c>
      <c r="P34" s="44"/>
    </row>
    <row r="35" spans="1:16" s="14" customFormat="1" ht="12.75">
      <c r="A35" s="14" t="s">
        <v>17</v>
      </c>
      <c r="B35" s="45" t="s">
        <v>14</v>
      </c>
      <c r="C35" s="15"/>
      <c r="D35" s="24">
        <f>'BAL SHEETS'!B8</f>
        <v>184734.2876270333</v>
      </c>
      <c r="E35" s="36">
        <f t="shared" si="1"/>
        <v>0.7171859088225612</v>
      </c>
      <c r="F35" s="33">
        <f>$F$21*E35</f>
        <v>6983.569099723336</v>
      </c>
      <c r="G35" s="33">
        <f t="shared" si="2"/>
        <v>698.3569099723336</v>
      </c>
      <c r="H35" s="15">
        <v>0</v>
      </c>
      <c r="I35" s="33">
        <f t="shared" si="3"/>
        <v>185432.64453700563</v>
      </c>
      <c r="J35" s="102">
        <f>Sheet1!B6</f>
        <v>8719.255524546657</v>
      </c>
      <c r="K35" s="33">
        <f t="shared" si="4"/>
        <v>6285.212189751002</v>
      </c>
      <c r="L35" s="39">
        <v>0</v>
      </c>
      <c r="M35" s="39">
        <f>DISTRIBUTIONS!I21</f>
        <v>7104.381715692753</v>
      </c>
      <c r="N35" s="33">
        <f t="shared" si="5"/>
        <v>7900.085998604907</v>
      </c>
      <c r="O35" s="33">
        <f t="shared" si="6"/>
        <v>193332.73053561055</v>
      </c>
      <c r="P35" s="44"/>
    </row>
    <row r="36" spans="1:16" s="14" customFormat="1" ht="15">
      <c r="A36" s="14" t="s">
        <v>109</v>
      </c>
      <c r="B36" s="45" t="s">
        <v>14</v>
      </c>
      <c r="C36" s="15"/>
      <c r="D36" s="104">
        <f>'BAL SHEETS'!B12</f>
        <v>6284.096446904437</v>
      </c>
      <c r="E36" s="65">
        <f t="shared" si="1"/>
        <v>0.024396474954886872</v>
      </c>
      <c r="F36" s="62">
        <f>$F$21*E36</f>
        <v>237.5596990142127</v>
      </c>
      <c r="G36" s="62">
        <f t="shared" si="2"/>
        <v>23.75596990142127</v>
      </c>
      <c r="H36" s="63">
        <v>1210</v>
      </c>
      <c r="I36" s="62">
        <f t="shared" si="3"/>
        <v>7517.8524168058575</v>
      </c>
      <c r="J36" s="103">
        <f>Sheet1!B10</f>
        <v>0</v>
      </c>
      <c r="K36" s="62">
        <f t="shared" si="4"/>
        <v>213.80372911279142</v>
      </c>
      <c r="L36" s="99">
        <v>0</v>
      </c>
      <c r="M36" s="99">
        <f>DISTRIBUTIONS!I19</f>
        <v>213.80372911279142</v>
      </c>
      <c r="N36" s="62">
        <f t="shared" si="5"/>
        <v>0</v>
      </c>
      <c r="O36" s="62">
        <f t="shared" si="6"/>
        <v>7517.8524168058575</v>
      </c>
      <c r="P36" s="44"/>
    </row>
    <row r="37" spans="2:16" ht="12.75">
      <c r="B37" s="46"/>
      <c r="C37" s="14"/>
      <c r="D37" s="31">
        <f aca="true" t="shared" si="7" ref="D37:K37">SUM(D25:D36)</f>
        <v>257582.14899999992</v>
      </c>
      <c r="E37" s="36">
        <f t="shared" si="7"/>
        <v>1</v>
      </c>
      <c r="F37" s="33">
        <f t="shared" si="7"/>
        <v>10797.9</v>
      </c>
      <c r="G37" s="33">
        <f t="shared" si="7"/>
        <v>973.746</v>
      </c>
      <c r="H37" s="33">
        <f t="shared" si="7"/>
        <v>1210</v>
      </c>
      <c r="I37" s="33">
        <f t="shared" si="7"/>
        <v>259765.8949999999</v>
      </c>
      <c r="J37" s="33">
        <f t="shared" si="7"/>
        <v>23076.391000000003</v>
      </c>
      <c r="K37" s="33">
        <f t="shared" si="7"/>
        <v>9824.153999999999</v>
      </c>
      <c r="L37" s="33">
        <f>SUM(L25:L36)</f>
        <v>35.090000000000146</v>
      </c>
      <c r="M37" s="33">
        <f>SUM(M25:M36)</f>
        <v>9600</v>
      </c>
      <c r="N37" s="33">
        <f>SUM(N25:N36)</f>
        <v>23265.455</v>
      </c>
      <c r="O37" s="33">
        <f>SUM(O25:O36)</f>
        <v>283031.3499999999</v>
      </c>
      <c r="P37" s="2"/>
    </row>
    <row r="38" spans="1:16" ht="12.75">
      <c r="A38" s="21" t="s">
        <v>142</v>
      </c>
      <c r="B38" s="46"/>
      <c r="C38" s="14"/>
      <c r="D38" s="59"/>
      <c r="E38" s="14"/>
      <c r="F38" s="33"/>
      <c r="G38" s="15"/>
      <c r="H38" s="15"/>
      <c r="I38" s="15"/>
      <c r="J38" s="15"/>
      <c r="K38" s="15"/>
      <c r="L38" s="15"/>
      <c r="M38" s="15"/>
      <c r="N38" s="15"/>
      <c r="O38" s="15"/>
      <c r="P38" s="2"/>
    </row>
    <row r="39" spans="1:16" ht="12.75">
      <c r="A39" s="14" t="s">
        <v>84</v>
      </c>
      <c r="B39" s="46" t="s">
        <v>143</v>
      </c>
      <c r="C39" s="14"/>
      <c r="E39" s="36">
        <f>J39/$J$42</f>
        <v>0.2843401803914502</v>
      </c>
      <c r="F39" s="33">
        <f>E39*$F$20</f>
        <v>20.19952641500862</v>
      </c>
      <c r="G39" s="33"/>
      <c r="H39" s="15">
        <v>0</v>
      </c>
      <c r="I39" s="33"/>
      <c r="J39" s="60">
        <v>4572.440320053264</v>
      </c>
      <c r="K39" s="33">
        <f>F39</f>
        <v>20.19952641500862</v>
      </c>
      <c r="L39" s="39">
        <f>DISTRIBUTIONS!I40</f>
        <v>4592.64</v>
      </c>
      <c r="M39" s="39">
        <v>0</v>
      </c>
      <c r="N39" s="33">
        <f>J39+K39+H39-L39-M39</f>
        <v>-0.00015353172784671187</v>
      </c>
      <c r="O39" s="33">
        <f>N39</f>
        <v>-0.00015353172784671187</v>
      </c>
      <c r="P39" s="2"/>
    </row>
    <row r="40" spans="1:16" ht="12.75">
      <c r="A40" s="14" t="s">
        <v>168</v>
      </c>
      <c r="B40" s="46" t="s">
        <v>143</v>
      </c>
      <c r="C40" s="14"/>
      <c r="E40" s="36">
        <f>J40/$J$42</f>
        <v>0.11642673556494695</v>
      </c>
      <c r="F40" s="33">
        <f>E40*$F$20</f>
        <v>8.270955294533831</v>
      </c>
      <c r="G40" s="33"/>
      <c r="H40" s="15">
        <v>0</v>
      </c>
      <c r="I40" s="33"/>
      <c r="J40" s="60">
        <v>1872.2443634116444</v>
      </c>
      <c r="K40" s="33">
        <f>F40</f>
        <v>8.270955294533831</v>
      </c>
      <c r="L40" s="39">
        <f>DISTRIBUTIONS!I41</f>
        <v>1880.52</v>
      </c>
      <c r="M40" s="39">
        <v>0</v>
      </c>
      <c r="N40" s="33">
        <f>J40+K40+H40-L40-M40</f>
        <v>-0.0046812938217044575</v>
      </c>
      <c r="O40" s="33">
        <f>N40</f>
        <v>-0.0046812938217044575</v>
      </c>
      <c r="P40" s="2"/>
    </row>
    <row r="41" spans="1:16" ht="15">
      <c r="A41" s="14" t="s">
        <v>85</v>
      </c>
      <c r="B41" s="46" t="s">
        <v>143</v>
      </c>
      <c r="C41" s="14"/>
      <c r="E41" s="65">
        <f>J41/$J$42</f>
        <v>0.5992330840436028</v>
      </c>
      <c r="F41" s="62">
        <f>E41*$F$20</f>
        <v>42.56951829045754</v>
      </c>
      <c r="G41" s="33"/>
      <c r="H41" s="64">
        <f>94+45</f>
        <v>139</v>
      </c>
      <c r="I41" s="33"/>
      <c r="J41" s="61">
        <v>9636.195316535091</v>
      </c>
      <c r="K41" s="62">
        <f>F41</f>
        <v>42.56951829045754</v>
      </c>
      <c r="L41" s="99">
        <f>DISTRIBUTIONS!I42</f>
        <v>9077.84</v>
      </c>
      <c r="M41" s="99">
        <v>0</v>
      </c>
      <c r="N41" s="62">
        <f>J41+K41+H41-L41-M41</f>
        <v>739.9248348255496</v>
      </c>
      <c r="O41" s="62">
        <f>N41</f>
        <v>739.9248348255496</v>
      </c>
      <c r="P41" s="2"/>
    </row>
    <row r="42" spans="3:16" ht="12.75">
      <c r="C42" s="14"/>
      <c r="E42" s="36">
        <f>SUM(E39:E41)</f>
        <v>0.9999999999999999</v>
      </c>
      <c r="F42" s="31">
        <f>SUM(F39:F41)</f>
        <v>71.03999999999999</v>
      </c>
      <c r="G42" s="31"/>
      <c r="H42" s="31">
        <f>SUM(H39:H41)</f>
        <v>139</v>
      </c>
      <c r="I42" s="31"/>
      <c r="J42" s="31">
        <f aca="true" t="shared" si="8" ref="J42:O42">SUM(J39:J41)</f>
        <v>16080.880000000001</v>
      </c>
      <c r="K42" s="31">
        <f t="shared" si="8"/>
        <v>71.03999999999999</v>
      </c>
      <c r="L42" s="31">
        <f t="shared" si="8"/>
        <v>15551</v>
      </c>
      <c r="M42" s="31">
        <f t="shared" si="8"/>
        <v>0</v>
      </c>
      <c r="N42" s="31">
        <f t="shared" si="8"/>
        <v>739.9200000000001</v>
      </c>
      <c r="O42" s="31">
        <f t="shared" si="8"/>
        <v>739.9200000000001</v>
      </c>
      <c r="P42" s="2"/>
    </row>
    <row r="43" spans="1:15" ht="15">
      <c r="A43" s="14"/>
      <c r="B43" s="14"/>
      <c r="C43" s="14"/>
      <c r="D43" s="18"/>
      <c r="E43" s="14"/>
      <c r="H43" s="15"/>
      <c r="I43" s="1"/>
      <c r="J43" s="1"/>
      <c r="K43" s="1"/>
      <c r="L43" s="1"/>
      <c r="M43" s="2"/>
      <c r="N43" s="5"/>
      <c r="O43" s="31"/>
    </row>
    <row r="44" spans="1:4" ht="15">
      <c r="A44" s="16" t="s">
        <v>58</v>
      </c>
      <c r="B44" s="16"/>
      <c r="C44" s="16"/>
      <c r="D44" s="108" t="s">
        <v>176</v>
      </c>
    </row>
    <row r="45" spans="4:14" ht="12.75">
      <c r="D45" s="108"/>
      <c r="H45" s="1"/>
      <c r="N45" s="2"/>
    </row>
    <row r="46" spans="1:6" ht="12.75">
      <c r="A46" t="s">
        <v>59</v>
      </c>
      <c r="D46" s="39">
        <f>+DISTRIBUTIONS!C7</f>
        <v>9600</v>
      </c>
      <c r="F46" s="2"/>
    </row>
    <row r="47" spans="1:4" ht="12.75">
      <c r="A47" t="s">
        <v>60</v>
      </c>
      <c r="D47" s="39">
        <f>+DISTRIBUTIONS!C8</f>
        <v>8586.09</v>
      </c>
    </row>
    <row r="48" spans="1:4" ht="12.75">
      <c r="A48" t="s">
        <v>185</v>
      </c>
      <c r="D48" s="39">
        <f>DISTRIBUTIONS!C9</f>
        <v>7000</v>
      </c>
    </row>
    <row r="49" spans="1:4" ht="12.75">
      <c r="A49" t="s">
        <v>61</v>
      </c>
      <c r="D49" s="33">
        <f>G37</f>
        <v>973.746</v>
      </c>
    </row>
    <row r="50" spans="1:4" ht="14.25" customHeight="1">
      <c r="A50" t="s">
        <v>62</v>
      </c>
      <c r="D50" s="24">
        <f>Sheet1!G11</f>
        <v>-852.5117975480807</v>
      </c>
    </row>
    <row r="51" spans="1:4" ht="14.25" customHeight="1">
      <c r="A51" t="s">
        <v>63</v>
      </c>
      <c r="D51" s="24">
        <f>Sheet1!G21+Sheet1!G29</f>
        <v>-14299.384202451924</v>
      </c>
    </row>
    <row r="52" ht="12.75">
      <c r="D52" s="66"/>
    </row>
    <row r="53" ht="12.75">
      <c r="D53" s="33">
        <f>SUM(D46:D52)</f>
        <v>11007.939999999997</v>
      </c>
    </row>
    <row r="54" ht="12.75">
      <c r="D54" s="31">
        <f>F19+H42</f>
        <v>11007.94</v>
      </c>
    </row>
    <row r="55" spans="1:4" ht="15">
      <c r="A55" s="16"/>
      <c r="B55" s="16"/>
      <c r="C55" s="16"/>
      <c r="D55" s="2"/>
    </row>
    <row r="57" spans="1:13" ht="12.75">
      <c r="A57" s="1"/>
      <c r="B57" s="1"/>
      <c r="C57" s="1"/>
      <c r="D57" s="1"/>
      <c r="E57" s="1"/>
      <c r="F57" s="33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33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33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33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33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33"/>
      <c r="G62" s="1"/>
      <c r="H62" s="1"/>
      <c r="I62" s="1"/>
      <c r="J62" s="1"/>
      <c r="K62" s="1"/>
      <c r="L62" s="1"/>
      <c r="M62" s="1"/>
    </row>
    <row r="63" spans="6:8" ht="12.75">
      <c r="F63" s="31"/>
      <c r="H63" s="2"/>
    </row>
    <row r="65" spans="1:3" ht="15">
      <c r="A65" s="16"/>
      <c r="B65" s="16"/>
      <c r="C65" s="16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1" spans="1:6" ht="15">
      <c r="A71" s="19"/>
      <c r="B71" s="19"/>
      <c r="C71" s="19"/>
      <c r="F71" s="2"/>
    </row>
    <row r="72" spans="1:3" ht="15">
      <c r="A72" s="19"/>
      <c r="B72" s="19"/>
      <c r="C72" s="19"/>
    </row>
  </sheetData>
  <printOptions gridLines="1" horizontalCentered="1"/>
  <pageMargins left="0.33" right="0.35" top="1" bottom="1" header="0.5" footer="0.5"/>
  <pageSetup fitToHeight="1" fitToWidth="1" horizontalDpi="180" verticalDpi="180" orientation="landscape" scale="63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workbookViewId="0" topLeftCell="B13">
      <selection activeCell="A1" sqref="A1"/>
    </sheetView>
  </sheetViews>
  <sheetFormatPr defaultColWidth="9.140625" defaultRowHeight="12.75"/>
  <cols>
    <col min="1" max="1" width="39.28125" style="0" customWidth="1"/>
    <col min="2" max="2" width="4.00390625" style="0" customWidth="1"/>
    <col min="3" max="3" width="17.00390625" style="0" customWidth="1"/>
    <col min="4" max="4" width="4.421875" style="0" customWidth="1"/>
    <col min="5" max="5" width="16.7109375" style="0" customWidth="1"/>
    <col min="6" max="6" width="3.421875" style="0" customWidth="1"/>
    <col min="7" max="7" width="11.421875" style="0" customWidth="1"/>
    <col min="8" max="8" width="3.8515625" style="0" customWidth="1"/>
    <col min="9" max="9" width="16.28125" style="0" customWidth="1"/>
    <col min="10" max="10" width="12.00390625" style="0" customWidth="1"/>
    <col min="11" max="11" width="6.7109375" style="0" customWidth="1"/>
    <col min="12" max="12" width="16.140625" style="0" customWidth="1"/>
  </cols>
  <sheetData>
    <row r="1" ht="21">
      <c r="A1" s="9" t="s">
        <v>86</v>
      </c>
    </row>
    <row r="2" ht="12.75">
      <c r="A2" t="s">
        <v>148</v>
      </c>
    </row>
    <row r="3" spans="9:12" ht="12.75">
      <c r="I3" s="32" t="s">
        <v>50</v>
      </c>
      <c r="L3" s="32"/>
    </row>
    <row r="4" spans="1:12" ht="12.75">
      <c r="A4" t="s">
        <v>64</v>
      </c>
      <c r="I4" s="32" t="s">
        <v>52</v>
      </c>
      <c r="L4" s="32"/>
    </row>
    <row r="5" ht="12.75">
      <c r="A5" t="s">
        <v>65</v>
      </c>
    </row>
    <row r="6" ht="12.75">
      <c r="I6" s="25" t="s">
        <v>43</v>
      </c>
    </row>
    <row r="7" spans="1:9" ht="15">
      <c r="A7" s="10" t="s">
        <v>66</v>
      </c>
      <c r="B7" s="10"/>
      <c r="C7" s="11">
        <v>9600</v>
      </c>
      <c r="I7" s="25" t="s">
        <v>11</v>
      </c>
    </row>
    <row r="8" spans="1:3" ht="15">
      <c r="A8" s="10" t="s">
        <v>67</v>
      </c>
      <c r="B8" s="10"/>
      <c r="C8" s="11">
        <f>35.09+8551</f>
        <v>8586.09</v>
      </c>
    </row>
    <row r="9" spans="1:9" ht="15">
      <c r="A9" s="10" t="s">
        <v>184</v>
      </c>
      <c r="B9" s="10"/>
      <c r="C9" s="11">
        <v>7000</v>
      </c>
      <c r="I9" s="68" t="s">
        <v>87</v>
      </c>
    </row>
    <row r="10" spans="1:9" ht="15">
      <c r="A10" s="10" t="s">
        <v>68</v>
      </c>
      <c r="B10" s="10"/>
      <c r="C10" s="37">
        <f>SUM(C7:C9)</f>
        <v>25186.09</v>
      </c>
      <c r="I10" s="68" t="s">
        <v>88</v>
      </c>
    </row>
    <row r="13" spans="1:9" ht="17.25">
      <c r="A13" s="8" t="s">
        <v>66</v>
      </c>
      <c r="I13" s="41">
        <f>+C7</f>
        <v>9600</v>
      </c>
    </row>
    <row r="14" ht="12.75">
      <c r="A14" t="s">
        <v>150</v>
      </c>
    </row>
    <row r="15" ht="12.75">
      <c r="A15" t="s">
        <v>188</v>
      </c>
    </row>
    <row r="16" spans="3:9" ht="12.75">
      <c r="C16" s="46" t="s">
        <v>69</v>
      </c>
      <c r="D16" s="46"/>
      <c r="E16" s="46" t="s">
        <v>151</v>
      </c>
      <c r="F16" s="46"/>
      <c r="G16" s="46" t="s">
        <v>70</v>
      </c>
      <c r="H16" s="46"/>
      <c r="I16" s="46" t="s">
        <v>71</v>
      </c>
    </row>
    <row r="17" spans="1:10" ht="12.75">
      <c r="A17" t="s">
        <v>72</v>
      </c>
      <c r="C17" s="69">
        <f>+'INCOME &amp; PRINCIPAL'!K31+'INCOME &amp; PRINCIPAL'!K32</f>
        <v>465.02015366413286</v>
      </c>
      <c r="D17" s="68"/>
      <c r="E17" s="68"/>
      <c r="I17" s="33">
        <f>C17</f>
        <v>465.02015366413286</v>
      </c>
      <c r="J17" s="2" t="s">
        <v>118</v>
      </c>
    </row>
    <row r="18" spans="1:10" ht="12.75">
      <c r="A18" t="s">
        <v>152</v>
      </c>
      <c r="C18" s="69">
        <f>+'INCOME &amp; PRINCIPAL'!K34</f>
        <v>706.96</v>
      </c>
      <c r="D18" s="68"/>
      <c r="E18" s="70"/>
      <c r="I18" s="1">
        <v>600</v>
      </c>
      <c r="J18" s="2"/>
    </row>
    <row r="19" spans="1:10" ht="12.75">
      <c r="A19" t="s">
        <v>114</v>
      </c>
      <c r="C19" s="69">
        <f>+'INCOME &amp; PRINCIPAL'!K36</f>
        <v>213.80372911279142</v>
      </c>
      <c r="D19" s="68"/>
      <c r="E19" s="68"/>
      <c r="I19" s="33">
        <f>C19</f>
        <v>213.80372911279142</v>
      </c>
      <c r="J19" s="2" t="s">
        <v>149</v>
      </c>
    </row>
    <row r="20" spans="1:10" ht="12.75">
      <c r="A20" t="s">
        <v>189</v>
      </c>
      <c r="C20" s="69">
        <f>+'INCOME &amp; PRINCIPAL'!K33</f>
        <v>1076.4921299239938</v>
      </c>
      <c r="D20" s="68"/>
      <c r="E20" s="70">
        <f>+'INCOME &amp; PRINCIPAL'!D33</f>
        <v>31640.142091287948</v>
      </c>
      <c r="G20" s="36">
        <f>+E20/E22</f>
        <v>0.14622865618861458</v>
      </c>
      <c r="H20" s="36"/>
      <c r="I20" s="33">
        <f>(+C7-I17-I18-I19)*G20</f>
        <v>1216.794401530324</v>
      </c>
      <c r="J20" s="2"/>
    </row>
    <row r="21" spans="1:9" ht="12.75">
      <c r="A21" t="s">
        <v>17</v>
      </c>
      <c r="C21" s="71">
        <f>+'INCOME &amp; PRINCIPAL'!K35</f>
        <v>6285.212189751002</v>
      </c>
      <c r="D21" s="68"/>
      <c r="E21" s="73">
        <f>+'INCOME &amp; PRINCIPAL'!D35</f>
        <v>184734.2876270333</v>
      </c>
      <c r="G21" s="74">
        <f>+E21/E22</f>
        <v>0.8537713438113854</v>
      </c>
      <c r="H21" s="105"/>
      <c r="I21" s="77">
        <f>(+C7-I17-I18-I19)*G21</f>
        <v>7104.381715692753</v>
      </c>
    </row>
    <row r="22" spans="1:10" ht="12.75">
      <c r="A22" t="s">
        <v>154</v>
      </c>
      <c r="C22" s="31">
        <f>SUM(C20:C21)</f>
        <v>7361.704319674996</v>
      </c>
      <c r="E22" s="33">
        <f>SUM(E20:E21)</f>
        <v>216374.42971832125</v>
      </c>
      <c r="G22" s="36">
        <f>SUM(G20:G21)</f>
        <v>1</v>
      </c>
      <c r="H22" s="36"/>
      <c r="I22" s="33"/>
      <c r="J22" s="2"/>
    </row>
    <row r="23" spans="3:10" ht="12.75">
      <c r="C23" s="31"/>
      <c r="E23" s="33"/>
      <c r="G23" s="36"/>
      <c r="H23" s="36"/>
      <c r="I23" s="33"/>
      <c r="J23" s="2"/>
    </row>
    <row r="24" spans="1:10" ht="12.75">
      <c r="A24" s="6" t="s">
        <v>174</v>
      </c>
      <c r="C24" s="31"/>
      <c r="E24" s="33"/>
      <c r="G24" s="36"/>
      <c r="H24" s="36"/>
      <c r="I24" s="33">
        <f>SUM(I17:I21)</f>
        <v>9600</v>
      </c>
      <c r="J24" s="2"/>
    </row>
    <row r="25" spans="3:10" ht="24" customHeight="1">
      <c r="C25" s="2"/>
      <c r="E25" s="1"/>
      <c r="G25" s="5"/>
      <c r="H25" s="5"/>
      <c r="I25" s="1"/>
      <c r="J25" s="2"/>
    </row>
    <row r="26" spans="1:12" ht="17.25">
      <c r="A26" s="8" t="s">
        <v>73</v>
      </c>
      <c r="C26" s="2"/>
      <c r="E26" s="1"/>
      <c r="G26" s="5"/>
      <c r="H26" s="5"/>
      <c r="I26" s="41">
        <f>+C8+C9</f>
        <v>15586.09</v>
      </c>
      <c r="J26" s="2" t="s">
        <v>177</v>
      </c>
      <c r="L26" s="2"/>
    </row>
    <row r="27" spans="1:10" ht="12.75">
      <c r="A27" t="s">
        <v>74</v>
      </c>
      <c r="C27" s="2"/>
      <c r="E27" s="1"/>
      <c r="I27" s="34">
        <f>+'INCOME &amp; PRINCIPAL'!D7</f>
        <v>353.48</v>
      </c>
      <c r="J27" s="2"/>
    </row>
    <row r="28" spans="1:10" ht="12.75">
      <c r="A28" t="s">
        <v>75</v>
      </c>
      <c r="C28" s="2"/>
      <c r="E28" s="1"/>
      <c r="I28" s="33">
        <f>I26-I27</f>
        <v>15232.61</v>
      </c>
      <c r="J28" s="2"/>
    </row>
    <row r="29" spans="1:10" ht="12.75">
      <c r="A29" t="s">
        <v>76</v>
      </c>
      <c r="C29" s="2"/>
      <c r="E29" s="1"/>
      <c r="I29" s="1"/>
      <c r="J29" s="2"/>
    </row>
    <row r="30" spans="3:9" ht="12.75">
      <c r="C30" s="46" t="s">
        <v>69</v>
      </c>
      <c r="D30" s="46"/>
      <c r="E30" s="46" t="s">
        <v>155</v>
      </c>
      <c r="F30" s="46"/>
      <c r="G30" s="46"/>
      <c r="H30" s="46"/>
      <c r="I30" s="46" t="s">
        <v>77</v>
      </c>
    </row>
    <row r="31" spans="1:9" ht="12.75">
      <c r="A31" s="21" t="s">
        <v>141</v>
      </c>
      <c r="C31" s="46"/>
      <c r="D31" s="46"/>
      <c r="E31" s="46"/>
      <c r="F31" s="46"/>
      <c r="G31" s="46"/>
      <c r="H31" s="46"/>
      <c r="I31" s="46"/>
    </row>
    <row r="32" spans="1:9" ht="12.75">
      <c r="A32" t="s">
        <v>153</v>
      </c>
      <c r="C32" s="76">
        <f>'INCOME &amp; PRINCIPAL'!K30</f>
        <v>353.48</v>
      </c>
      <c r="D32" s="46"/>
      <c r="E32" s="75">
        <f>'BAL SHEETS'!C13</f>
        <v>918.0033333333329</v>
      </c>
      <c r="F32" s="46"/>
      <c r="G32" s="46"/>
      <c r="H32" s="46"/>
      <c r="I32" s="47">
        <f>8586.09-8551</f>
        <v>35.090000000000146</v>
      </c>
    </row>
    <row r="33" spans="1:10" ht="12.75">
      <c r="A33" t="s">
        <v>5</v>
      </c>
      <c r="C33" s="69">
        <f>+'INCOME &amp; PRINCIPAL'!K29</f>
        <v>90.83759386865978</v>
      </c>
      <c r="E33" s="24">
        <f>'BAL SHEETS'!C3</f>
        <v>1117.2959374566788</v>
      </c>
      <c r="G33" s="5"/>
      <c r="H33" s="5"/>
      <c r="I33" s="1">
        <v>0</v>
      </c>
      <c r="J33" s="2"/>
    </row>
    <row r="34" spans="1:10" ht="12.75">
      <c r="A34" t="s">
        <v>10</v>
      </c>
      <c r="C34" s="69">
        <f>+'INCOME &amp; PRINCIPAL'!K25</f>
        <v>182.11694188480834</v>
      </c>
      <c r="E34" s="24">
        <f>'BAL SHEETS'!C4</f>
        <v>2104.220492952454</v>
      </c>
      <c r="G34" s="5"/>
      <c r="H34" s="5"/>
      <c r="I34" s="1">
        <v>0</v>
      </c>
      <c r="J34" s="2"/>
    </row>
    <row r="35" spans="1:10" ht="12.75">
      <c r="A35" t="s">
        <v>12</v>
      </c>
      <c r="C35" s="69">
        <f>+'INCOME &amp; PRINCIPAL'!K26</f>
        <v>91.56827580207745</v>
      </c>
      <c r="E35" s="24">
        <f>'BAL SHEETS'!C5</f>
        <v>1252.7752425750843</v>
      </c>
      <c r="G35" s="5"/>
      <c r="H35" s="5"/>
      <c r="I35" s="1">
        <v>0</v>
      </c>
      <c r="J35" s="2"/>
    </row>
    <row r="36" spans="1:10" ht="12.75">
      <c r="A36" t="s">
        <v>190</v>
      </c>
      <c r="C36" s="69">
        <f>+'INCOME &amp; PRINCIPAL'!K28</f>
        <v>182.11694188480834</v>
      </c>
      <c r="E36" s="24">
        <f>'BAL SHEETS'!C6</f>
        <v>1904.9504929524537</v>
      </c>
      <c r="G36" s="5"/>
      <c r="H36" s="5"/>
      <c r="I36" s="1">
        <v>0</v>
      </c>
      <c r="J36" s="2"/>
    </row>
    <row r="37" spans="1:10" ht="12.75">
      <c r="A37" t="s">
        <v>170</v>
      </c>
      <c r="C37" s="71">
        <f>+'INCOME &amp; PRINCIPAL'!K27</f>
        <v>176.546044107725</v>
      </c>
      <c r="E37" s="72">
        <f>'BAL SHEETS'!C14</f>
        <v>1297.7035368052252</v>
      </c>
      <c r="G37" s="5"/>
      <c r="H37" s="5"/>
      <c r="I37" s="66">
        <v>0</v>
      </c>
      <c r="J37" s="2"/>
    </row>
    <row r="38" spans="1:10" ht="12.75">
      <c r="A38" s="4" t="s">
        <v>172</v>
      </c>
      <c r="C38" s="95">
        <f>SUM(C32:C37)</f>
        <v>1076.665797548079</v>
      </c>
      <c r="E38" s="96">
        <f>SUM(E32:E37)</f>
        <v>8594.94903607523</v>
      </c>
      <c r="G38" s="5"/>
      <c r="H38" s="5"/>
      <c r="I38" s="97">
        <f>SUM(I32:I37)</f>
        <v>35.090000000000146</v>
      </c>
      <c r="J38" s="2"/>
    </row>
    <row r="39" spans="1:10" ht="12.75">
      <c r="A39" s="21" t="s">
        <v>142</v>
      </c>
      <c r="C39" s="95"/>
      <c r="E39" s="96"/>
      <c r="G39" s="5"/>
      <c r="H39" s="5"/>
      <c r="I39" s="97"/>
      <c r="J39" s="2"/>
    </row>
    <row r="40" spans="1:10" ht="12.75">
      <c r="A40" s="14" t="s">
        <v>84</v>
      </c>
      <c r="C40" s="95">
        <f>'INCOME &amp; PRINCIPAL'!F39+'INCOME &amp; PRINCIPAL'!H39</f>
        <v>20.19952641500862</v>
      </c>
      <c r="E40" s="96">
        <f>C40+'INCOME &amp; PRINCIPAL'!J39</f>
        <v>4592.6398464682725</v>
      </c>
      <c r="G40" s="5"/>
      <c r="H40" s="5"/>
      <c r="I40" s="97">
        <v>4592.64</v>
      </c>
      <c r="J40" s="2"/>
    </row>
    <row r="41" spans="1:10" ht="12.75">
      <c r="A41" s="14" t="s">
        <v>168</v>
      </c>
      <c r="C41" s="95">
        <f>'INCOME &amp; PRINCIPAL'!F40+'INCOME &amp; PRINCIPAL'!H40</f>
        <v>8.270955294533831</v>
      </c>
      <c r="E41" s="96">
        <f>C41+'INCOME &amp; PRINCIPAL'!J40</f>
        <v>1880.5153187061783</v>
      </c>
      <c r="G41" s="5"/>
      <c r="H41" s="5"/>
      <c r="I41" s="97">
        <v>1880.52</v>
      </c>
      <c r="J41" s="2"/>
    </row>
    <row r="42" spans="1:10" ht="12.75">
      <c r="A42" s="14" t="s">
        <v>85</v>
      </c>
      <c r="C42" s="71">
        <f>'INCOME &amp; PRINCIPAL'!F41+'INCOME &amp; PRINCIPAL'!H41</f>
        <v>181.56951829045755</v>
      </c>
      <c r="E42" s="72">
        <f>C42+'INCOME &amp; PRINCIPAL'!J41</f>
        <v>9817.76483482555</v>
      </c>
      <c r="G42" s="5"/>
      <c r="H42" s="5"/>
      <c r="I42" s="66">
        <v>9077.84</v>
      </c>
      <c r="J42" s="2"/>
    </row>
    <row r="43" spans="1:10" ht="12.75">
      <c r="A43" s="94" t="s">
        <v>173</v>
      </c>
      <c r="C43" s="95">
        <f>SUM(C40:C42)</f>
        <v>210.04</v>
      </c>
      <c r="E43" s="96">
        <f>SUM(E40:E42)</f>
        <v>16290.92</v>
      </c>
      <c r="G43" s="5"/>
      <c r="H43" s="5"/>
      <c r="I43" s="97">
        <f>SUM(I40:I42)</f>
        <v>15551</v>
      </c>
      <c r="J43" s="2"/>
    </row>
    <row r="44" spans="1:10" ht="13.5" thickBot="1">
      <c r="A44" s="14"/>
      <c r="C44" s="107"/>
      <c r="E44" s="106"/>
      <c r="G44" s="5"/>
      <c r="H44" s="5"/>
      <c r="I44" s="78"/>
      <c r="J44" s="2"/>
    </row>
    <row r="45" spans="1:10" ht="13.5" thickTop="1">
      <c r="A45" s="6" t="s">
        <v>175</v>
      </c>
      <c r="C45" s="31">
        <f>C38+C43</f>
        <v>1286.7057975480789</v>
      </c>
      <c r="E45" s="31">
        <f>E38+E43</f>
        <v>24885.86903607523</v>
      </c>
      <c r="G45" s="5"/>
      <c r="H45" s="5"/>
      <c r="I45" s="31">
        <f>I38+I43</f>
        <v>15586.09</v>
      </c>
      <c r="J45" s="2"/>
    </row>
    <row r="46" spans="3:10" ht="12.75">
      <c r="C46" s="2"/>
      <c r="E46" s="1"/>
      <c r="G46" s="5"/>
      <c r="H46" s="5"/>
      <c r="J46" s="2"/>
    </row>
    <row r="47" spans="3:10" ht="12.75">
      <c r="C47" t="s">
        <v>78</v>
      </c>
      <c r="E47" s="3"/>
      <c r="G47" s="5"/>
      <c r="H47" s="5"/>
      <c r="I47" s="2"/>
      <c r="J47" s="2"/>
    </row>
    <row r="48" spans="3:10" ht="12.75">
      <c r="C48" s="2"/>
      <c r="E48" s="1"/>
      <c r="G48" s="5"/>
      <c r="H48" s="5"/>
      <c r="I48" s="2"/>
      <c r="J48" s="2"/>
    </row>
    <row r="49" spans="3:9" ht="12.75">
      <c r="C49" s="1"/>
      <c r="I49" s="2"/>
    </row>
    <row r="51" ht="12.75">
      <c r="A51" s="21" t="s">
        <v>178</v>
      </c>
    </row>
    <row r="53" spans="1:3" ht="12.75">
      <c r="A53" t="s">
        <v>179</v>
      </c>
      <c r="C53" s="1">
        <v>8500</v>
      </c>
    </row>
    <row r="54" spans="1:3" ht="12.75">
      <c r="A54" t="s">
        <v>180</v>
      </c>
      <c r="C54" s="1">
        <v>66.14</v>
      </c>
    </row>
    <row r="55" spans="1:3" ht="12.75">
      <c r="A55" t="s">
        <v>181</v>
      </c>
      <c r="C55" s="66">
        <v>19.95</v>
      </c>
    </row>
    <row r="56" spans="1:3" ht="12.75">
      <c r="A56" s="4" t="s">
        <v>182</v>
      </c>
      <c r="C56" s="1">
        <f>SUM(C53:C55)</f>
        <v>8586.09</v>
      </c>
    </row>
    <row r="57" ht="12.75">
      <c r="C57" s="1"/>
    </row>
    <row r="58" spans="1:3" ht="12.75">
      <c r="A58" t="s">
        <v>183</v>
      </c>
      <c r="C58" s="1">
        <v>7000</v>
      </c>
    </row>
    <row r="59" ht="13.5" thickBot="1">
      <c r="C59" s="78"/>
    </row>
    <row r="60" ht="13.5" thickTop="1">
      <c r="C60" s="1">
        <f>SUM(C56:C58)</f>
        <v>15586.09</v>
      </c>
    </row>
    <row r="61" ht="12.75">
      <c r="C61" s="1"/>
    </row>
  </sheetData>
  <printOptions gridLines="1" horizontalCentered="1" verticalCentered="1"/>
  <pageMargins left="0.75" right="0.75" top="1" bottom="1" header="0.5" footer="0.5"/>
  <pageSetup fitToHeight="1" fitToWidth="1" horizontalDpi="300" verticalDpi="300" orientation="landscape" scale="58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workbookViewId="0" topLeftCell="A1">
      <selection activeCell="I7" sqref="I7"/>
    </sheetView>
  </sheetViews>
  <sheetFormatPr defaultColWidth="9.140625" defaultRowHeight="12.75"/>
  <cols>
    <col min="1" max="1" width="33.421875" style="0" customWidth="1"/>
    <col min="2" max="2" width="10.140625" style="0" bestFit="1" customWidth="1"/>
    <col min="3" max="3" width="9.7109375" style="0" bestFit="1" customWidth="1"/>
    <col min="4" max="4" width="10.8515625" style="0" bestFit="1" customWidth="1"/>
    <col min="5" max="5" width="12.28125" style="0" bestFit="1" customWidth="1"/>
    <col min="6" max="6" width="10.140625" style="0" bestFit="1" customWidth="1"/>
    <col min="7" max="7" width="12.00390625" style="0" bestFit="1" customWidth="1"/>
  </cols>
  <sheetData>
    <row r="1" spans="1:4" s="111" customFormat="1" ht="9.75">
      <c r="A1" s="125" t="s">
        <v>79</v>
      </c>
      <c r="B1" s="126"/>
      <c r="C1" s="126"/>
      <c r="D1" s="126"/>
    </row>
    <row r="2" spans="1:4" s="111" customFormat="1" ht="9.75">
      <c r="A2" s="117"/>
      <c r="B2" s="114"/>
      <c r="C2" s="114"/>
      <c r="D2" s="114"/>
    </row>
    <row r="3" spans="1:7" s="111" customFormat="1" ht="9.75">
      <c r="A3" s="117" t="s">
        <v>166</v>
      </c>
      <c r="B3" s="112" t="s">
        <v>80</v>
      </c>
      <c r="C3" s="114"/>
      <c r="D3" s="114"/>
      <c r="E3" s="113" t="s">
        <v>82</v>
      </c>
      <c r="F3" s="113" t="s">
        <v>80</v>
      </c>
      <c r="G3" s="113" t="s">
        <v>111</v>
      </c>
    </row>
    <row r="4" spans="1:7" s="111" customFormat="1" ht="9.75">
      <c r="A4" s="121"/>
      <c r="B4" s="123">
        <v>37772</v>
      </c>
      <c r="C4" s="112" t="s">
        <v>55</v>
      </c>
      <c r="D4" s="112" t="s">
        <v>81</v>
      </c>
      <c r="E4" s="113" t="s">
        <v>83</v>
      </c>
      <c r="F4" s="123">
        <v>38138</v>
      </c>
      <c r="G4" s="113" t="s">
        <v>112</v>
      </c>
    </row>
    <row r="5" spans="1:6" s="111" customFormat="1" ht="13.5" customHeight="1">
      <c r="A5" s="121" t="s">
        <v>186</v>
      </c>
      <c r="B5" s="114">
        <v>1493.6385138806972</v>
      </c>
      <c r="C5" s="114">
        <f>'INCOME &amp; PRINCIPAL'!F33</f>
        <v>1196.1023665822154</v>
      </c>
      <c r="D5" s="114">
        <f>+DISTRIBUTIONS!I20</f>
        <v>1216.794401530324</v>
      </c>
      <c r="E5" s="115">
        <f>'INCOME &amp; PRINCIPAL'!G33</f>
        <v>119.61023665822154</v>
      </c>
      <c r="F5" s="115">
        <f aca="true" t="shared" si="0" ref="F5:F10">+B5+C5-D5-E5</f>
        <v>1353.3362422743671</v>
      </c>
    </row>
    <row r="6" spans="1:6" s="111" customFormat="1" ht="13.5" customHeight="1">
      <c r="A6" s="121" t="s">
        <v>98</v>
      </c>
      <c r="B6" s="114">
        <v>8719.255524546657</v>
      </c>
      <c r="C6" s="114">
        <f>+'INCOME &amp; PRINCIPAL'!F35</f>
        <v>6983.569099723336</v>
      </c>
      <c r="D6" s="114">
        <f>+DISTRIBUTIONS!I21</f>
        <v>7104.381715692753</v>
      </c>
      <c r="E6" s="115">
        <f>'INCOME &amp; PRINCIPAL'!G35</f>
        <v>698.3569099723336</v>
      </c>
      <c r="F6" s="115">
        <f t="shared" si="0"/>
        <v>7900.085998604907</v>
      </c>
    </row>
    <row r="7" spans="1:6" s="111" customFormat="1" ht="13.5" customHeight="1">
      <c r="A7" s="121" t="s">
        <v>99</v>
      </c>
      <c r="B7" s="114">
        <v>1856.0070980808705</v>
      </c>
      <c r="C7" s="114">
        <f>+'INCOME &amp; PRINCIPAL'!F32</f>
        <v>313.5927721550436</v>
      </c>
      <c r="D7" s="114">
        <f>DISTRIBUTIONS!I17/2</f>
        <v>232.51007683206643</v>
      </c>
      <c r="E7" s="115">
        <f>'INCOME &amp; PRINCIPAL'!G32</f>
        <v>31.35927721550436</v>
      </c>
      <c r="F7" s="115">
        <f t="shared" si="0"/>
        <v>1905.730516188343</v>
      </c>
    </row>
    <row r="8" spans="1:6" s="111" customFormat="1" ht="13.5" customHeight="1">
      <c r="A8" s="121" t="s">
        <v>100</v>
      </c>
      <c r="B8" s="114">
        <v>345.82416074987964</v>
      </c>
      <c r="C8" s="114">
        <f>+'INCOME &amp; PRINCIPAL'!F31</f>
        <v>203.09628747177067</v>
      </c>
      <c r="D8" s="114">
        <f>DISTRIBUTIONS!I17-Sheet1!D7</f>
        <v>232.51007683206643</v>
      </c>
      <c r="E8" s="115">
        <f>'INCOME &amp; PRINCIPAL'!G31</f>
        <v>20.30962874717707</v>
      </c>
      <c r="F8" s="115">
        <f t="shared" si="0"/>
        <v>296.10074264240683</v>
      </c>
    </row>
    <row r="9" spans="1:6" s="111" customFormat="1" ht="13.5" customHeight="1">
      <c r="A9" s="121" t="s">
        <v>101</v>
      </c>
      <c r="B9" s="114">
        <v>2066.7166666666662</v>
      </c>
      <c r="C9" s="114">
        <f>+'INCOME &amp; PRINCIPAL'!F34</f>
        <v>706.96</v>
      </c>
      <c r="D9" s="114">
        <f>+DISTRIBUTIONS!I18</f>
        <v>600</v>
      </c>
      <c r="E9" s="115">
        <f>'INCOME &amp; PRINCIPAL'!G34</f>
        <v>0</v>
      </c>
      <c r="F9" s="115">
        <f t="shared" si="0"/>
        <v>2173.6766666666663</v>
      </c>
    </row>
    <row r="10" spans="1:6" s="111" customFormat="1" ht="13.5" customHeight="1">
      <c r="A10" s="121" t="s">
        <v>109</v>
      </c>
      <c r="B10" s="114">
        <v>0</v>
      </c>
      <c r="C10" s="114">
        <f>+'INCOME &amp; PRINCIPAL'!F36</f>
        <v>237.5596990142127</v>
      </c>
      <c r="D10" s="114">
        <f>+DISTRIBUTIONS!I19</f>
        <v>213.80372911279142</v>
      </c>
      <c r="E10" s="115">
        <f>'INCOME &amp; PRINCIPAL'!G36</f>
        <v>23.75596990142127</v>
      </c>
      <c r="F10" s="115">
        <f t="shared" si="0"/>
        <v>0</v>
      </c>
    </row>
    <row r="11" spans="1:7" s="111" customFormat="1" ht="13.5" customHeight="1">
      <c r="A11" s="121"/>
      <c r="B11" s="114">
        <f>SUM(B5:B10)</f>
        <v>14481.441963924772</v>
      </c>
      <c r="C11" s="114">
        <f>SUM(C5:C10)</f>
        <v>9640.880224946579</v>
      </c>
      <c r="D11" s="114">
        <f>SUM(D5:D10)</f>
        <v>9600</v>
      </c>
      <c r="E11" s="114">
        <f>SUM(E5:E10)</f>
        <v>893.3920224946578</v>
      </c>
      <c r="F11" s="114">
        <f>SUM(F5:F10)</f>
        <v>13628.930166376691</v>
      </c>
      <c r="G11" s="115">
        <f>+F11-B11</f>
        <v>-852.5117975480807</v>
      </c>
    </row>
    <row r="12" spans="1:4" s="111" customFormat="1" ht="9.75">
      <c r="A12" s="121"/>
      <c r="B12" s="114"/>
      <c r="C12" s="114"/>
      <c r="D12" s="114"/>
    </row>
    <row r="13" spans="1:6" s="111" customFormat="1" ht="9.75">
      <c r="A13" s="124" t="s">
        <v>197</v>
      </c>
      <c r="B13" s="112" t="s">
        <v>80</v>
      </c>
      <c r="C13" s="114"/>
      <c r="D13" s="114"/>
      <c r="E13" s="113" t="s">
        <v>82</v>
      </c>
      <c r="F13" s="113" t="s">
        <v>80</v>
      </c>
    </row>
    <row r="14" spans="1:6" s="111" customFormat="1" ht="9.75">
      <c r="A14" s="124"/>
      <c r="B14" s="123">
        <v>37772</v>
      </c>
      <c r="C14" s="112" t="s">
        <v>55</v>
      </c>
      <c r="D14" s="112" t="s">
        <v>81</v>
      </c>
      <c r="E14" s="113" t="s">
        <v>83</v>
      </c>
      <c r="F14" s="123">
        <v>38138</v>
      </c>
    </row>
    <row r="15" spans="1:6" s="111" customFormat="1" ht="12.75" customHeight="1">
      <c r="A15" s="121" t="s">
        <v>103</v>
      </c>
      <c r="B15" s="114">
        <v>1117.2959374566788</v>
      </c>
      <c r="C15" s="114">
        <f>+'INCOME &amp; PRINCIPAL'!F29</f>
        <v>100.93065985406642</v>
      </c>
      <c r="D15" s="114">
        <f>DISTRIBUTIONS!I33</f>
        <v>0</v>
      </c>
      <c r="E15" s="115">
        <f>'INCOME &amp; PRINCIPAL'!G29</f>
        <v>10.093065985406643</v>
      </c>
      <c r="F15" s="115">
        <f aca="true" t="shared" si="1" ref="F15:F20">+B15+C15-D15-E15</f>
        <v>1208.1335313253385</v>
      </c>
    </row>
    <row r="16" spans="1:6" s="111" customFormat="1" ht="12.75" customHeight="1">
      <c r="A16" s="121" t="s">
        <v>102</v>
      </c>
      <c r="B16" s="114">
        <v>2104.220492952454</v>
      </c>
      <c r="C16" s="114">
        <f>+'INCOME &amp; PRINCIPAL'!F25</f>
        <v>202.35215764978705</v>
      </c>
      <c r="D16" s="114">
        <f>DISTRIBUTIONS!I34</f>
        <v>0</v>
      </c>
      <c r="E16" s="115">
        <f>'INCOME &amp; PRINCIPAL'!G25</f>
        <v>20.235215764978705</v>
      </c>
      <c r="F16" s="115">
        <f t="shared" si="1"/>
        <v>2286.337434837262</v>
      </c>
    </row>
    <row r="17" spans="1:6" s="111" customFormat="1" ht="12.75" customHeight="1">
      <c r="A17" s="121" t="s">
        <v>104</v>
      </c>
      <c r="B17" s="114">
        <v>1252.7752425750843</v>
      </c>
      <c r="C17" s="114">
        <f>+'INCOME &amp; PRINCIPAL'!F26</f>
        <v>101.74252866897494</v>
      </c>
      <c r="D17" s="114">
        <f>DISTRIBUTIONS!I35</f>
        <v>0</v>
      </c>
      <c r="E17" s="115">
        <f>'INCOME &amp; PRINCIPAL'!G26</f>
        <v>10.174252866897495</v>
      </c>
      <c r="F17" s="115">
        <f t="shared" si="1"/>
        <v>1344.343518377162</v>
      </c>
    </row>
    <row r="18" spans="1:6" s="111" customFormat="1" ht="12.75" customHeight="1">
      <c r="A18" s="121" t="s">
        <v>187</v>
      </c>
      <c r="B18" s="114">
        <v>1904.9504929524537</v>
      </c>
      <c r="C18" s="114">
        <f>+'INCOME &amp; PRINCIPAL'!F28</f>
        <v>202.35215764978705</v>
      </c>
      <c r="D18" s="114">
        <f>DISTRIBUTIONS!I36</f>
        <v>0</v>
      </c>
      <c r="E18" s="115">
        <f>'INCOME &amp; PRINCIPAL'!G28</f>
        <v>20.235215764978705</v>
      </c>
      <c r="F18" s="115">
        <f t="shared" si="1"/>
        <v>2087.0674348372618</v>
      </c>
    </row>
    <row r="19" spans="1:6" s="111" customFormat="1" ht="12.75" customHeight="1">
      <c r="A19" s="121" t="s">
        <v>105</v>
      </c>
      <c r="B19" s="114">
        <v>918.0033333333329</v>
      </c>
      <c r="C19" s="114">
        <f>+'INCOME &amp; PRINCIPAL'!F30</f>
        <v>353.48</v>
      </c>
      <c r="D19" s="114">
        <f>DISTRIBUTIONS!I32</f>
        <v>35.090000000000146</v>
      </c>
      <c r="E19" s="115">
        <f>'INCOME &amp; PRINCIPAL'!G30</f>
        <v>0</v>
      </c>
      <c r="F19" s="115">
        <f t="shared" si="1"/>
        <v>1236.3933333333327</v>
      </c>
    </row>
    <row r="20" spans="1:6" s="111" customFormat="1" ht="12.75" customHeight="1">
      <c r="A20" s="121" t="s">
        <v>195</v>
      </c>
      <c r="B20" s="114">
        <v>1297.7035368052252</v>
      </c>
      <c r="C20" s="114">
        <f>+'INCOME &amp; PRINCIPAL'!F27</f>
        <v>196.16227123080557</v>
      </c>
      <c r="D20" s="114">
        <f>DISTRIBUTIONS!I37</f>
        <v>0</v>
      </c>
      <c r="E20" s="115">
        <f>'INCOME &amp; PRINCIPAL'!G27</f>
        <v>19.61622712308056</v>
      </c>
      <c r="F20" s="115">
        <f t="shared" si="1"/>
        <v>1474.2495809129503</v>
      </c>
    </row>
    <row r="21" spans="2:8" s="111" customFormat="1" ht="12.75" customHeight="1">
      <c r="B21" s="114">
        <f>SUM(B15:B20)</f>
        <v>8594.94903607523</v>
      </c>
      <c r="C21" s="114">
        <f>SUM(C15:C20)</f>
        <v>1157.0197750534212</v>
      </c>
      <c r="D21" s="114">
        <f>SUM(D15:D20)</f>
        <v>35.090000000000146</v>
      </c>
      <c r="E21" s="114">
        <f>SUM(E15:E20)</f>
        <v>80.3539775053421</v>
      </c>
      <c r="F21" s="114">
        <f>SUM(F15:F20)</f>
        <v>9636.524833623307</v>
      </c>
      <c r="G21" s="115">
        <f>+F21-B21</f>
        <v>1041.5757975480774</v>
      </c>
      <c r="H21" s="115"/>
    </row>
    <row r="22" spans="1:7" s="111" customFormat="1" ht="9.75">
      <c r="A22" s="119" t="s">
        <v>167</v>
      </c>
      <c r="B22" s="114">
        <f aca="true" t="shared" si="2" ref="B22:G22">B21+B11</f>
        <v>23076.391000000003</v>
      </c>
      <c r="C22" s="114">
        <f t="shared" si="2"/>
        <v>10797.9</v>
      </c>
      <c r="D22" s="114">
        <f t="shared" si="2"/>
        <v>9635.09</v>
      </c>
      <c r="E22" s="114">
        <f t="shared" si="2"/>
        <v>973.7459999999999</v>
      </c>
      <c r="F22" s="114">
        <f t="shared" si="2"/>
        <v>23265.454999999998</v>
      </c>
      <c r="G22" s="114">
        <f t="shared" si="2"/>
        <v>189.06399999999667</v>
      </c>
    </row>
    <row r="23" spans="2:4" s="111" customFormat="1" ht="9.75">
      <c r="B23" s="114"/>
      <c r="C23" s="114"/>
      <c r="D23" s="114"/>
    </row>
    <row r="24" spans="1:6" s="111" customFormat="1" ht="9.75">
      <c r="A24" s="117" t="s">
        <v>196</v>
      </c>
      <c r="B24" s="112" t="s">
        <v>80</v>
      </c>
      <c r="C24" s="114"/>
      <c r="D24" s="114"/>
      <c r="E24" s="113"/>
      <c r="F24" s="113" t="s">
        <v>80</v>
      </c>
    </row>
    <row r="25" spans="1:6" s="111" customFormat="1" ht="9.75">
      <c r="A25" s="117"/>
      <c r="B25" s="123">
        <v>37772</v>
      </c>
      <c r="C25" s="112" t="s">
        <v>55</v>
      </c>
      <c r="D25" s="112" t="s">
        <v>81</v>
      </c>
      <c r="E25" s="113"/>
      <c r="F25" s="123">
        <v>38138</v>
      </c>
    </row>
    <row r="26" spans="1:6" s="111" customFormat="1" ht="9.75">
      <c r="A26" s="111" t="s">
        <v>192</v>
      </c>
      <c r="B26" s="114">
        <v>4572.440320053264</v>
      </c>
      <c r="C26" s="114">
        <f>'INCOME &amp; PRINCIPAL'!F39+'INCOME &amp; PRINCIPAL'!H39</f>
        <v>20.19952641500862</v>
      </c>
      <c r="D26" s="114">
        <f>DISTRIBUTIONS!I40</f>
        <v>4592.64</v>
      </c>
      <c r="E26" s="115"/>
      <c r="F26" s="115">
        <f>+B26+C26-D26-E26</f>
        <v>-0.00015353172784671187</v>
      </c>
    </row>
    <row r="27" spans="1:6" s="111" customFormat="1" ht="9.75">
      <c r="A27" s="111" t="s">
        <v>194</v>
      </c>
      <c r="B27" s="114">
        <v>1872.2443634116444</v>
      </c>
      <c r="C27" s="114">
        <f>'INCOME &amp; PRINCIPAL'!F40+'INCOME &amp; PRINCIPAL'!H40</f>
        <v>8.270955294533831</v>
      </c>
      <c r="D27" s="114">
        <f>DISTRIBUTIONS!I41</f>
        <v>1880.52</v>
      </c>
      <c r="E27" s="115"/>
      <c r="F27" s="115">
        <f>+B27+C27-D27-E27</f>
        <v>-0.0046812938217044575</v>
      </c>
    </row>
    <row r="28" spans="1:6" s="111" customFormat="1" ht="9.75">
      <c r="A28" s="111" t="s">
        <v>193</v>
      </c>
      <c r="B28" s="114">
        <v>9636.195316535091</v>
      </c>
      <c r="C28" s="114">
        <f>'INCOME &amp; PRINCIPAL'!F41+'INCOME &amp; PRINCIPAL'!H41</f>
        <v>181.56951829045755</v>
      </c>
      <c r="D28" s="114">
        <f>DISTRIBUTIONS!I42</f>
        <v>9077.84</v>
      </c>
      <c r="E28" s="115"/>
      <c r="F28" s="115">
        <f>+B28+C28-D28-E28</f>
        <v>739.9248348255496</v>
      </c>
    </row>
    <row r="29" spans="2:7" s="111" customFormat="1" ht="9.75">
      <c r="B29" s="114">
        <f>SUM(B26:B28)</f>
        <v>16080.880000000001</v>
      </c>
      <c r="C29" s="114">
        <f>SUM(C26:C28)</f>
        <v>210.04</v>
      </c>
      <c r="D29" s="114">
        <f>SUM(D26:D28)</f>
        <v>15551</v>
      </c>
      <c r="E29" s="115"/>
      <c r="F29" s="115">
        <f>SUM(F26:F28)</f>
        <v>739.9200000000001</v>
      </c>
      <c r="G29" s="115">
        <f>+F29-B29</f>
        <v>-15340.960000000001</v>
      </c>
    </row>
    <row r="30" spans="2:4" s="111" customFormat="1" ht="9.75">
      <c r="B30" s="114"/>
      <c r="C30" s="114"/>
      <c r="D30" s="114"/>
    </row>
    <row r="31" spans="1:6" s="111" customFormat="1" ht="9.75">
      <c r="A31" s="119"/>
      <c r="B31" s="114">
        <f>B29+B22</f>
        <v>39157.27100000001</v>
      </c>
      <c r="C31" s="114">
        <f>C29+C22</f>
        <v>11007.94</v>
      </c>
      <c r="D31" s="114">
        <f>D29+D22</f>
        <v>25186.09</v>
      </c>
      <c r="E31" s="114">
        <f>E29+E22</f>
        <v>973.7459999999999</v>
      </c>
      <c r="F31" s="114">
        <f>F29+F22</f>
        <v>24005.375</v>
      </c>
    </row>
  </sheetData>
  <printOptions horizontalCentered="1" verticalCentered="1"/>
  <pageMargins left="1.8" right="2.2" top="1.8" bottom="1.8" header="0.5" footer="1.8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="60" workbookViewId="0" topLeftCell="A10">
      <selection activeCell="A25" sqref="A25"/>
    </sheetView>
  </sheetViews>
  <sheetFormatPr defaultColWidth="9.140625" defaultRowHeight="12.75"/>
  <cols>
    <col min="1" max="1" width="41.7109375" style="111" customWidth="1"/>
    <col min="2" max="2" width="15.57421875" style="114" customWidth="1"/>
    <col min="3" max="3" width="14.8515625" style="114" customWidth="1"/>
    <col min="4" max="4" width="14.00390625" style="114" customWidth="1"/>
    <col min="5" max="5" width="13.140625" style="111" customWidth="1"/>
    <col min="6" max="6" width="14.421875" style="111" customWidth="1"/>
    <col min="7" max="7" width="14.7109375" style="111" customWidth="1"/>
    <col min="8" max="8" width="12.28125" style="111" bestFit="1" customWidth="1"/>
    <col min="9" max="16384" width="9.140625" style="111" customWidth="1"/>
  </cols>
  <sheetData>
    <row r="1" spans="1:4" ht="21" customHeight="1">
      <c r="A1" s="109" t="s">
        <v>156</v>
      </c>
      <c r="B1" s="110"/>
      <c r="C1" s="110"/>
      <c r="D1" s="110"/>
    </row>
    <row r="2" spans="2:5" ht="9.75">
      <c r="B2" s="112" t="s">
        <v>0</v>
      </c>
      <c r="C2" s="112" t="s">
        <v>1</v>
      </c>
      <c r="D2" s="112" t="s">
        <v>2</v>
      </c>
      <c r="E2" s="113"/>
    </row>
    <row r="3" spans="1:7" ht="9.75">
      <c r="A3" s="111" t="s">
        <v>103</v>
      </c>
      <c r="B3" s="114">
        <v>2669.88888942275</v>
      </c>
      <c r="C3" s="114">
        <v>1117.2959374566788</v>
      </c>
      <c r="D3" s="114">
        <f aca="true" t="shared" si="0" ref="D3:D10">B3+C3</f>
        <v>3787.1848268794283</v>
      </c>
      <c r="F3" s="115"/>
      <c r="G3" s="115"/>
    </row>
    <row r="4" spans="1:7" ht="9.75">
      <c r="A4" s="111" t="s">
        <v>102</v>
      </c>
      <c r="B4" s="114">
        <v>5352.761769724232</v>
      </c>
      <c r="C4" s="114">
        <v>2104.220492952454</v>
      </c>
      <c r="D4" s="114">
        <f t="shared" si="0"/>
        <v>7456.982262676686</v>
      </c>
      <c r="F4" s="115"/>
      <c r="G4" s="115"/>
    </row>
    <row r="5" spans="1:7" ht="9.75">
      <c r="A5" s="111" t="s">
        <v>104</v>
      </c>
      <c r="B5" s="114">
        <v>2691.36501502945</v>
      </c>
      <c r="C5" s="114">
        <v>1252.7752425750843</v>
      </c>
      <c r="D5" s="114">
        <f t="shared" si="0"/>
        <v>3944.140257604535</v>
      </c>
      <c r="F5" s="115"/>
      <c r="G5" s="115"/>
    </row>
    <row r="6" spans="1:7" ht="9.75">
      <c r="A6" s="111" t="s">
        <v>187</v>
      </c>
      <c r="B6" s="114">
        <v>5352.761769724232</v>
      </c>
      <c r="C6" s="114">
        <v>1904.9504929524537</v>
      </c>
      <c r="D6" s="114">
        <f t="shared" si="0"/>
        <v>7257.712262676686</v>
      </c>
      <c r="F6" s="115"/>
      <c r="G6" s="115"/>
    </row>
    <row r="7" spans="1:7" ht="9.75">
      <c r="A7" s="111" t="s">
        <v>186</v>
      </c>
      <c r="B7" s="114">
        <v>31640.142091287948</v>
      </c>
      <c r="C7" s="114">
        <v>1493.6385138806972</v>
      </c>
      <c r="D7" s="114">
        <f t="shared" si="0"/>
        <v>33133.78060516864</v>
      </c>
      <c r="F7" s="115"/>
      <c r="G7" s="115"/>
    </row>
    <row r="8" spans="1:7" ht="9.75">
      <c r="A8" s="111" t="s">
        <v>98</v>
      </c>
      <c r="B8" s="114">
        <v>184734.2876270333</v>
      </c>
      <c r="C8" s="114">
        <v>8719.255524546657</v>
      </c>
      <c r="D8" s="114">
        <f t="shared" si="0"/>
        <v>193453.54315157997</v>
      </c>
      <c r="F8" s="115"/>
      <c r="G8" s="115"/>
    </row>
    <row r="9" spans="1:7" ht="9.75">
      <c r="A9" s="111" t="s">
        <v>99</v>
      </c>
      <c r="B9" s="114">
        <v>8295.376839808683</v>
      </c>
      <c r="C9" s="114">
        <v>1856.0070980808705</v>
      </c>
      <c r="D9" s="114">
        <f t="shared" si="0"/>
        <v>10151.383937889554</v>
      </c>
      <c r="F9" s="115"/>
      <c r="G9" s="115"/>
    </row>
    <row r="10" spans="1:7" ht="9.75">
      <c r="A10" s="111" t="s">
        <v>100</v>
      </c>
      <c r="B10" s="114">
        <v>5372.446015788558</v>
      </c>
      <c r="C10" s="114">
        <v>345.82416074987964</v>
      </c>
      <c r="D10" s="114">
        <f t="shared" si="0"/>
        <v>5718.270176538437</v>
      </c>
      <c r="F10" s="115"/>
      <c r="G10" s="115"/>
    </row>
    <row r="11" spans="1:7" ht="30">
      <c r="A11" s="111" t="s">
        <v>101</v>
      </c>
      <c r="B11" s="116" t="s">
        <v>117</v>
      </c>
      <c r="C11" s="114">
        <v>2066.7166666666662</v>
      </c>
      <c r="D11" s="114">
        <f>C11</f>
        <v>2066.7166666666662</v>
      </c>
      <c r="F11" s="115"/>
      <c r="G11" s="115"/>
    </row>
    <row r="12" spans="1:7" ht="9.75">
      <c r="A12" s="111" t="s">
        <v>109</v>
      </c>
      <c r="B12" s="114">
        <v>6284.096446904437</v>
      </c>
      <c r="C12" s="114">
        <v>0</v>
      </c>
      <c r="D12" s="114">
        <f>B12+C12</f>
        <v>6284.096446904437</v>
      </c>
      <c r="F12" s="115"/>
      <c r="G12" s="115"/>
    </row>
    <row r="13" spans="1:7" ht="30">
      <c r="A13" s="111" t="s">
        <v>105</v>
      </c>
      <c r="B13" s="116" t="s">
        <v>117</v>
      </c>
      <c r="C13" s="114">
        <v>918.0033333333329</v>
      </c>
      <c r="D13" s="114">
        <f>C13</f>
        <v>918.0033333333329</v>
      </c>
      <c r="F13" s="115"/>
      <c r="G13" s="115"/>
    </row>
    <row r="14" spans="1:7" ht="9.75">
      <c r="A14" s="111" t="s">
        <v>106</v>
      </c>
      <c r="B14" s="114">
        <v>5189.022535276321</v>
      </c>
      <c r="C14" s="114">
        <v>1297.7035368052252</v>
      </c>
      <c r="D14" s="114">
        <f>B14+C14</f>
        <v>6486.726072081547</v>
      </c>
      <c r="F14" s="115"/>
      <c r="G14" s="115"/>
    </row>
    <row r="15" spans="2:7" ht="9.75">
      <c r="B15" s="114">
        <f>SUM(B3:B14)</f>
        <v>257582.14899999992</v>
      </c>
      <c r="C15" s="114">
        <f>SUM(C3:C14)</f>
        <v>23076.391</v>
      </c>
      <c r="D15" s="114">
        <f>SUM(D3:D14)</f>
        <v>280658.5399999999</v>
      </c>
      <c r="G15" s="115"/>
    </row>
    <row r="16" ht="9.75">
      <c r="G16" s="115"/>
    </row>
    <row r="17" spans="1:8" ht="9.75">
      <c r="A17" s="117" t="s">
        <v>142</v>
      </c>
      <c r="G17" s="115"/>
      <c r="H17" s="115"/>
    </row>
    <row r="18" spans="1:4" ht="9.75">
      <c r="A18" s="111" t="s">
        <v>84</v>
      </c>
      <c r="C18" s="114">
        <v>4572.440320053264</v>
      </c>
      <c r="D18" s="114">
        <f>C18+B18</f>
        <v>4572.440320053264</v>
      </c>
    </row>
    <row r="19" spans="1:7" ht="9.75">
      <c r="A19" s="111" t="s">
        <v>110</v>
      </c>
      <c r="C19" s="114">
        <v>1872.2443634116444</v>
      </c>
      <c r="D19" s="114">
        <f>C19+B19</f>
        <v>1872.2443634116444</v>
      </c>
      <c r="G19" s="115"/>
    </row>
    <row r="20" spans="1:4" ht="9.75">
      <c r="A20" s="111" t="s">
        <v>85</v>
      </c>
      <c r="C20" s="114">
        <v>9636.195316535091</v>
      </c>
      <c r="D20" s="114">
        <f>C20+B20</f>
        <v>9636.195316535091</v>
      </c>
    </row>
    <row r="21" spans="3:4" ht="9.75">
      <c r="C21" s="114">
        <f>SUM(C18:C20)</f>
        <v>16080.880000000001</v>
      </c>
      <c r="D21" s="114">
        <f>SUM(D18:D20)</f>
        <v>16080.880000000001</v>
      </c>
    </row>
    <row r="22" ht="9.75">
      <c r="C22" s="118"/>
    </row>
    <row r="23" spans="1:4" ht="9.75">
      <c r="A23" s="119"/>
      <c r="C23" s="114">
        <f>C21+C15</f>
        <v>39157.271</v>
      </c>
      <c r="D23" s="114">
        <f>D21+D15</f>
        <v>296739.4199999999</v>
      </c>
    </row>
    <row r="24" ht="12" customHeight="1"/>
    <row r="25" spans="1:4" ht="12" customHeight="1">
      <c r="A25" s="109" t="s">
        <v>198</v>
      </c>
      <c r="B25" s="127"/>
      <c r="C25" s="110"/>
      <c r="D25" s="120"/>
    </row>
    <row r="26" spans="2:4" ht="17.25" customHeight="1">
      <c r="B26" s="112" t="s">
        <v>0</v>
      </c>
      <c r="C26" s="112" t="s">
        <v>1</v>
      </c>
      <c r="D26" s="112" t="s">
        <v>2</v>
      </c>
    </row>
    <row r="27" spans="1:7" ht="9.75">
      <c r="A27" s="117" t="s">
        <v>141</v>
      </c>
      <c r="B27" s="112"/>
      <c r="C27" s="112"/>
      <c r="D27" s="112"/>
      <c r="G27" s="116"/>
    </row>
    <row r="28" spans="1:4" ht="9.75">
      <c r="A28" s="111" t="s">
        <v>103</v>
      </c>
      <c r="B28" s="114">
        <f>+'INCOME &amp; PRINCIPAL'!I29</f>
        <v>2679.9819554081564</v>
      </c>
      <c r="C28" s="114">
        <f>+Sheet1!F15</f>
        <v>1208.1335313253385</v>
      </c>
      <c r="D28" s="114">
        <f aca="true" t="shared" si="1" ref="D28:D35">+B28+C28</f>
        <v>3888.115486733495</v>
      </c>
    </row>
    <row r="29" spans="1:7" ht="9.75">
      <c r="A29" s="111" t="s">
        <v>102</v>
      </c>
      <c r="B29" s="114">
        <f>+'INCOME &amp; PRINCIPAL'!I25</f>
        <v>5372.996985489211</v>
      </c>
      <c r="C29" s="114">
        <f>+Sheet1!F16</f>
        <v>2286.337434837262</v>
      </c>
      <c r="D29" s="114">
        <f t="shared" si="1"/>
        <v>7659.334420326473</v>
      </c>
      <c r="G29" s="116"/>
    </row>
    <row r="30" spans="1:4" ht="9.75">
      <c r="A30" s="111" t="s">
        <v>104</v>
      </c>
      <c r="B30" s="114">
        <f>+'INCOME &amp; PRINCIPAL'!I26</f>
        <v>2701.5392678963476</v>
      </c>
      <c r="C30" s="114">
        <f>+Sheet1!F17</f>
        <v>1344.343518377162</v>
      </c>
      <c r="D30" s="114">
        <f t="shared" si="1"/>
        <v>4045.8827862735097</v>
      </c>
    </row>
    <row r="31" spans="1:4" ht="9.75">
      <c r="A31" s="111" t="s">
        <v>187</v>
      </c>
      <c r="B31" s="114">
        <f>+'INCOME &amp; PRINCIPAL'!I28</f>
        <v>5372.996985489211</v>
      </c>
      <c r="C31" s="114">
        <f>+Sheet1!F18</f>
        <v>2087.0674348372618</v>
      </c>
      <c r="D31" s="114">
        <f t="shared" si="1"/>
        <v>7460.064420326473</v>
      </c>
    </row>
    <row r="32" spans="1:4" ht="9.75">
      <c r="A32" s="111" t="s">
        <v>186</v>
      </c>
      <c r="B32" s="114">
        <f>+'INCOME &amp; PRINCIPAL'!I33</f>
        <v>31759.752327946167</v>
      </c>
      <c r="C32" s="114">
        <f>+Sheet1!F5</f>
        <v>1353.3362422743671</v>
      </c>
      <c r="D32" s="114">
        <f t="shared" si="1"/>
        <v>33113.088570220534</v>
      </c>
    </row>
    <row r="33" spans="1:4" ht="9.75">
      <c r="A33" s="111" t="s">
        <v>98</v>
      </c>
      <c r="B33" s="114">
        <f>+'INCOME &amp; PRINCIPAL'!I35</f>
        <v>185432.64453700563</v>
      </c>
      <c r="C33" s="114">
        <f>+Sheet1!F6</f>
        <v>7900.085998604907</v>
      </c>
      <c r="D33" s="114">
        <f t="shared" si="1"/>
        <v>193332.73053561055</v>
      </c>
    </row>
    <row r="34" spans="1:4" ht="9.75">
      <c r="A34" s="111" t="s">
        <v>99</v>
      </c>
      <c r="B34" s="114">
        <f>+'INCOME &amp; PRINCIPAL'!I32</f>
        <v>8326.736117024187</v>
      </c>
      <c r="C34" s="114">
        <f>+Sheet1!F7</f>
        <v>1905.730516188343</v>
      </c>
      <c r="D34" s="114">
        <f t="shared" si="1"/>
        <v>10232.46663321253</v>
      </c>
    </row>
    <row r="35" spans="1:4" ht="9.75">
      <c r="A35" s="111" t="s">
        <v>100</v>
      </c>
      <c r="B35" s="114">
        <f>+'INCOME &amp; PRINCIPAL'!I31</f>
        <v>5392.755644535735</v>
      </c>
      <c r="C35" s="114">
        <f>+Sheet1!F8</f>
        <v>296.10074264240683</v>
      </c>
      <c r="D35" s="114">
        <f t="shared" si="1"/>
        <v>5688.856387178142</v>
      </c>
    </row>
    <row r="36" spans="1:4" ht="19.5" customHeight="1">
      <c r="A36" s="111" t="s">
        <v>101</v>
      </c>
      <c r="B36" s="121" t="s">
        <v>117</v>
      </c>
      <c r="C36" s="114">
        <f>+Sheet1!F9</f>
        <v>2173.6766666666663</v>
      </c>
      <c r="D36" s="114">
        <f>+C36</f>
        <v>2173.6766666666663</v>
      </c>
    </row>
    <row r="37" spans="1:4" ht="15" customHeight="1">
      <c r="A37" s="111" t="s">
        <v>109</v>
      </c>
      <c r="B37" s="122">
        <f>+'INCOME &amp; PRINCIPAL'!I36</f>
        <v>7517.8524168058575</v>
      </c>
      <c r="C37" s="114">
        <f>+Sheet1!F10</f>
        <v>0</v>
      </c>
      <c r="D37" s="114">
        <f>+B37+C37</f>
        <v>7517.8524168058575</v>
      </c>
    </row>
    <row r="38" spans="1:4" ht="20.25" customHeight="1">
      <c r="A38" s="111" t="s">
        <v>105</v>
      </c>
      <c r="B38" s="121" t="s">
        <v>117</v>
      </c>
      <c r="C38" s="114">
        <f>+Sheet1!F19</f>
        <v>1236.3933333333327</v>
      </c>
      <c r="D38" s="114">
        <f>+C38</f>
        <v>1236.3933333333327</v>
      </c>
    </row>
    <row r="39" spans="1:4" ht="9.75">
      <c r="A39" s="111" t="s">
        <v>106</v>
      </c>
      <c r="B39" s="114">
        <f>+'INCOME &amp; PRINCIPAL'!I27</f>
        <v>5208.6387623994015</v>
      </c>
      <c r="C39" s="114">
        <f>+Sheet1!F20</f>
        <v>1474.2495809129503</v>
      </c>
      <c r="D39" s="114">
        <f>+B39+C39</f>
        <v>6682.888343312352</v>
      </c>
    </row>
    <row r="40" spans="2:7" ht="9.75">
      <c r="B40" s="114">
        <f>SUM(B28:B39)</f>
        <v>259765.8949999999</v>
      </c>
      <c r="C40" s="114">
        <f>SUM(C28:C39)</f>
        <v>23265.454999999998</v>
      </c>
      <c r="D40" s="114">
        <f>SUM(D28:D39)</f>
        <v>283031.34999999986</v>
      </c>
      <c r="G40" s="115">
        <f>FUNDS!H38</f>
        <v>276031.35000000003</v>
      </c>
    </row>
    <row r="42" ht="9.75">
      <c r="A42" s="117" t="s">
        <v>142</v>
      </c>
    </row>
    <row r="43" spans="1:4" ht="9.75">
      <c r="A43" s="111" t="s">
        <v>192</v>
      </c>
      <c r="C43" s="114">
        <f>'INCOME &amp; PRINCIPAL'!N39</f>
        <v>-0.00015353172784671187</v>
      </c>
      <c r="D43" s="114">
        <f>C43+B43</f>
        <v>-0.00015353172784671187</v>
      </c>
    </row>
    <row r="44" spans="1:4" ht="9.75">
      <c r="A44" s="111" t="s">
        <v>194</v>
      </c>
      <c r="C44" s="114">
        <f>'INCOME &amp; PRINCIPAL'!N40</f>
        <v>-0.0046812938217044575</v>
      </c>
      <c r="D44" s="114">
        <f>C44+B44</f>
        <v>-0.0046812938217044575</v>
      </c>
    </row>
    <row r="45" spans="1:4" ht="9.75">
      <c r="A45" s="111" t="s">
        <v>193</v>
      </c>
      <c r="C45" s="114">
        <f>'INCOME &amp; PRINCIPAL'!N41</f>
        <v>739.9248348255496</v>
      </c>
      <c r="D45" s="114">
        <f>C45+B45</f>
        <v>739.9248348255496</v>
      </c>
    </row>
    <row r="46" spans="3:7" ht="9.75">
      <c r="C46" s="114">
        <f>SUM(C43:C45)</f>
        <v>739.9200000000001</v>
      </c>
      <c r="D46" s="114">
        <f>SUM(D43:D45)</f>
        <v>739.9200000000001</v>
      </c>
      <c r="G46" s="115">
        <f>FUNDS!H43</f>
        <v>7739.92</v>
      </c>
    </row>
    <row r="48" spans="3:4" ht="9.75">
      <c r="C48" s="114">
        <f>C46+C40</f>
        <v>24005.375</v>
      </c>
      <c r="D48" s="114">
        <f>D46+D40</f>
        <v>283771.26999999984</v>
      </c>
    </row>
  </sheetData>
  <printOptions horizontalCentered="1" verticalCentered="1"/>
  <pageMargins left="1.8" right="2.2" top="1.8" bottom="1.8" header="0.52" footer="1.8"/>
  <pageSetup fitToHeight="2" horizontalDpi="180" verticalDpi="180" orientation="landscape" r:id="rId1"/>
  <headerFooter alignWithMargins="0">
    <oddFooter>&amp;C&amp;8 74</oddFooter>
  </headerFooter>
  <rowBreaks count="2" manualBreakCount="2">
    <brk id="24" max="255" man="1"/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kulju</dc:creator>
  <cp:keywords/>
  <dc:description/>
  <cp:lastModifiedBy>Dondi</cp:lastModifiedBy>
  <cp:lastPrinted>2005-03-15T17:17:01Z</cp:lastPrinted>
  <dcterms:created xsi:type="dcterms:W3CDTF">2001-04-17T19:33:25Z</dcterms:created>
  <dcterms:modified xsi:type="dcterms:W3CDTF">2003-01-05T00:41:03Z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